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640" activeTab="3"/>
  </bookViews>
  <sheets>
    <sheet name="BSAssets" sheetId="1" r:id="rId1"/>
    <sheet name="BSLiabEq" sheetId="2" r:id="rId2"/>
    <sheet name="IncStat" sheetId="3" r:id="rId3"/>
    <sheet name="CapStruct" sheetId="4" r:id="rId4"/>
    <sheet name="JEs" sheetId="5" r:id="rId5"/>
    <sheet name="RevReq" sheetId="6" r:id="rId6"/>
    <sheet name="DeprAD" sheetId="7" r:id="rId7"/>
    <sheet name="AmortAA" sheetId="8" r:id="rId8"/>
    <sheet name="Taxes" sheetId="9" r:id="rId9"/>
    <sheet name="SourceUse" sheetId="10" r:id="rId10"/>
    <sheet name="FinCosts" sheetId="11" r:id="rId11"/>
  </sheets>
  <definedNames>
    <definedName name="_xlnm.Print_Area" localSheetId="8">'Taxes'!$A$1:$H$44</definedName>
  </definedNames>
  <calcPr fullCalcOnLoad="1"/>
</workbook>
</file>

<file path=xl/sharedStrings.xml><?xml version="1.0" encoding="utf-8"?>
<sst xmlns="http://schemas.openxmlformats.org/spreadsheetml/2006/main" count="625" uniqueCount="403">
  <si>
    <t>Year End</t>
  </si>
  <si>
    <t>Line</t>
  </si>
  <si>
    <t>Account Title (Number)</t>
  </si>
  <si>
    <t>Balance</t>
  </si>
  <si>
    <t>No.</t>
  </si>
  <si>
    <t>(a)</t>
  </si>
  <si>
    <t>(c)</t>
  </si>
  <si>
    <t>(d)</t>
  </si>
  <si>
    <t>(e)</t>
  </si>
  <si>
    <t>UTILITY PLANT</t>
  </si>
  <si>
    <t>Utility Plant (101-106)</t>
  </si>
  <si>
    <t>Less: Accumulated Depr. and Amort. (108-110)</t>
  </si>
  <si>
    <t>Net Plant</t>
  </si>
  <si>
    <t>Utility Plant Acquisition Adj. (Net) (114-115)</t>
  </si>
  <si>
    <t>5</t>
  </si>
  <si>
    <t>Total Net Utility Plant</t>
  </si>
  <si>
    <t>OTHER PROPERTY AND INVESTMENTS</t>
  </si>
  <si>
    <t>Nonutility Property (121)</t>
  </si>
  <si>
    <t>7</t>
  </si>
  <si>
    <t>Less: Accumulated Depr. and Amort. (122)</t>
  </si>
  <si>
    <t>8</t>
  </si>
  <si>
    <t>Net Nonutility Property</t>
  </si>
  <si>
    <t>9</t>
  </si>
  <si>
    <t>Investment in Associated Companies (123)</t>
  </si>
  <si>
    <t>11</t>
  </si>
  <si>
    <t>Utility Investments (124)</t>
  </si>
  <si>
    <t>12</t>
  </si>
  <si>
    <t>Other Investments</t>
  </si>
  <si>
    <t>13</t>
  </si>
  <si>
    <t>Special Funds(126-128)</t>
  </si>
  <si>
    <t>14</t>
  </si>
  <si>
    <t>Total Other Property &amp; Investments</t>
  </si>
  <si>
    <t>CURRENT AND ACCRUED ASSETS</t>
  </si>
  <si>
    <t>16</t>
  </si>
  <si>
    <t>Cash (131)</t>
  </si>
  <si>
    <t>17</t>
  </si>
  <si>
    <t>Special Deposits (132)</t>
  </si>
  <si>
    <t>18</t>
  </si>
  <si>
    <t>Other Special Deposits (133)</t>
  </si>
  <si>
    <t>19</t>
  </si>
  <si>
    <t>Working Funds (134)</t>
  </si>
  <si>
    <t>20</t>
  </si>
  <si>
    <t>Temporary Cash Investments (135)</t>
  </si>
  <si>
    <t>21</t>
  </si>
  <si>
    <t>Accounts and Notes Receivable-Net (141-144)</t>
  </si>
  <si>
    <t>22</t>
  </si>
  <si>
    <t>Accounts Receivable from Assoc. Co. (145)</t>
  </si>
  <si>
    <t>23</t>
  </si>
  <si>
    <t>Notes Receivable from Assoc. Co. (146)</t>
  </si>
  <si>
    <t>24</t>
  </si>
  <si>
    <t>Materials and Supplies (151-153)</t>
  </si>
  <si>
    <t>25</t>
  </si>
  <si>
    <t>Stores Expense (161)</t>
  </si>
  <si>
    <t>26</t>
  </si>
  <si>
    <t>Prepayments-Other (162)</t>
  </si>
  <si>
    <t>27</t>
  </si>
  <si>
    <t>Prepaid Taxes (163)</t>
  </si>
  <si>
    <t>28</t>
  </si>
  <si>
    <t>Interest and Dividends Receivable (171)</t>
  </si>
  <si>
    <t>29</t>
  </si>
  <si>
    <t>Rents Receivable (172)</t>
  </si>
  <si>
    <t>30</t>
  </si>
  <si>
    <t>Accrued Utility Revenues (173)</t>
  </si>
  <si>
    <t xml:space="preserve">31 </t>
  </si>
  <si>
    <t>Misc. Current and Accrued Assets (174)</t>
  </si>
  <si>
    <t>32</t>
  </si>
  <si>
    <t xml:space="preserve">Total Current and Accrued Assets </t>
  </si>
  <si>
    <t>DEFERRED DEBITS</t>
  </si>
  <si>
    <t>Unamortized Debt Discount &amp; Expense (181)</t>
  </si>
  <si>
    <t>33</t>
  </si>
  <si>
    <t>Extraordinary Property Losses (182)</t>
  </si>
  <si>
    <t>34</t>
  </si>
  <si>
    <t>Prelim. Survey &amp; Investigation Charges (183)</t>
  </si>
  <si>
    <t>35</t>
  </si>
  <si>
    <t>Clearing Accounts (184)</t>
  </si>
  <si>
    <t>36</t>
  </si>
  <si>
    <t>Temporary Facilities (185)</t>
  </si>
  <si>
    <t>37</t>
  </si>
  <si>
    <t>Miscellaneous Deferred Debits (186)</t>
  </si>
  <si>
    <t>38</t>
  </si>
  <si>
    <t>Research &amp; Development Expenditures (187)</t>
  </si>
  <si>
    <t>39</t>
  </si>
  <si>
    <t>Accumulated Deferred Income Taxes (190)</t>
  </si>
  <si>
    <t>40</t>
  </si>
  <si>
    <t>Total Deferred Debits</t>
  </si>
  <si>
    <t>TOTAL ASSETS AND OTHER DEBITS</t>
  </si>
  <si>
    <t xml:space="preserve">Line </t>
  </si>
  <si>
    <t>End Balance</t>
  </si>
  <si>
    <t>EQUITY CAPITAL</t>
  </si>
  <si>
    <t>Common Stock Issued (201)</t>
  </si>
  <si>
    <t>Preferred Stock Issued (204)</t>
  </si>
  <si>
    <t>Capital Stock Subscribed (202,205)</t>
  </si>
  <si>
    <t>Stock Liability for Conversion (203, 206)</t>
  </si>
  <si>
    <t>Premium on Capital Stock (207)</t>
  </si>
  <si>
    <t>Installments Received On Capital Stock (208)</t>
  </si>
  <si>
    <t>Other Paid-In Capital (209,211)</t>
  </si>
  <si>
    <t>Discount on Capital Stock (212)</t>
  </si>
  <si>
    <t>Capital Stock Expense(213)</t>
  </si>
  <si>
    <t>Retained Earnings (214-215)</t>
  </si>
  <si>
    <t>Reacquired Capital Stock (216)</t>
  </si>
  <si>
    <t>Total Equity Capital</t>
  </si>
  <si>
    <t xml:space="preserve">              LONG TERM DEBT</t>
  </si>
  <si>
    <t>Bonds (221)</t>
  </si>
  <si>
    <t>Reacquired Bonds (222)</t>
  </si>
  <si>
    <t>Advances from Associated Companies (223)</t>
  </si>
  <si>
    <t>Other Long-Term Debt (224)</t>
  </si>
  <si>
    <t xml:space="preserve">Total Long-Term Debt </t>
  </si>
  <si>
    <t>CURRENT AND ACCRUED LIABILITIES</t>
  </si>
  <si>
    <t>Accounts Payable (231)</t>
  </si>
  <si>
    <t>Notes Payable (232)</t>
  </si>
  <si>
    <t>Accounts Payable to Associated Co. (233)</t>
  </si>
  <si>
    <t>Notes Payable to Associated Co. (234)</t>
  </si>
  <si>
    <t>Customer Deposits (235)</t>
  </si>
  <si>
    <t>Accrued Taxes (236)</t>
  </si>
  <si>
    <t>Accrued Interest (237)</t>
  </si>
  <si>
    <t>Accrued Dividends (238)</t>
  </si>
  <si>
    <t>Matured Long-Term Debt (239)</t>
  </si>
  <si>
    <t>Matured Interest (240)</t>
  </si>
  <si>
    <t>Misc. Current and Accrued Liabilities (241)</t>
  </si>
  <si>
    <t>Total Current and Accrued Liabilities</t>
  </si>
  <si>
    <t>DEFERRED CREDITS</t>
  </si>
  <si>
    <t>Unamortized Premium on Debt (251)</t>
  </si>
  <si>
    <t>Advances for Construction (252)</t>
  </si>
  <si>
    <t>Other Deferred Credits (253)</t>
  </si>
  <si>
    <t>Accumulated Deferred Investment</t>
  </si>
  <si>
    <t>Tax Credits (255)</t>
  </si>
  <si>
    <t>Accumulated Deferred Income Taxes:</t>
  </si>
  <si>
    <t>Accelerated Amortization (281)</t>
  </si>
  <si>
    <t>Liberalized Depreciation (282)</t>
  </si>
  <si>
    <t>Other (283)</t>
  </si>
  <si>
    <t>Total Deferred Credits</t>
  </si>
  <si>
    <t>OPERATING RESERVES</t>
  </si>
  <si>
    <t>Property Insurance Reserve (261)</t>
  </si>
  <si>
    <t>Injuries and Damages Reserve (262)</t>
  </si>
  <si>
    <t>Pensions and Benefits Reserves (263)</t>
  </si>
  <si>
    <t>Miscellaneous Operating Reserves (265)</t>
  </si>
  <si>
    <t>Total Operating Reserves</t>
  </si>
  <si>
    <t>CONTRIBUTIONS IN AID OF CONSTRUCTION</t>
  </si>
  <si>
    <t>Contributions In Aid of Construction (271)</t>
  </si>
  <si>
    <t>Accumulated Amortization of C.I.A.C. (272)</t>
  </si>
  <si>
    <t>Total Net C.I.A.C.</t>
  </si>
  <si>
    <t>TOTAL EQUITY CAPITAL AND LIABILITIES</t>
  </si>
  <si>
    <t>UTILITY OPERATING INCOME</t>
  </si>
  <si>
    <t>Operating Revenues(400)</t>
  </si>
  <si>
    <t>Operating Expenses:</t>
  </si>
  <si>
    <t>Operating and Maintenance Expense (401)</t>
  </si>
  <si>
    <t>Depreciation Expense (403)</t>
  </si>
  <si>
    <t>Amortization of Contribution in Aid of</t>
  </si>
  <si>
    <t>Construction (405)</t>
  </si>
  <si>
    <t>Amortization of Utility Plant Acquisition</t>
  </si>
  <si>
    <t>Adjustment (406)</t>
  </si>
  <si>
    <t>Amortization Expense-Other (407)</t>
  </si>
  <si>
    <t>Taxes Other Than Income (408.1-408.13)</t>
  </si>
  <si>
    <t>Income Taxes (409.1, 410.1, 411.1, 412.1)</t>
  </si>
  <si>
    <t>Total Operating Expenses</t>
  </si>
  <si>
    <t>Net Operating Income (Loss)</t>
  </si>
  <si>
    <t xml:space="preserve">Income From Utility Plant Leased to </t>
  </si>
  <si>
    <t>Others (413)</t>
  </si>
  <si>
    <t>Gains(Losses) From Disposition of</t>
  </si>
  <si>
    <t>Utility Property (414)</t>
  </si>
  <si>
    <t>Net Water Utility Operating Income</t>
  </si>
  <si>
    <t>OTHER INCOME AND DEDUCTIONS</t>
  </si>
  <si>
    <t>Revenues From Merchandising, Jobbing and</t>
  </si>
  <si>
    <t>Contract Work (415)</t>
  </si>
  <si>
    <t>Costs and Expenses of Merchandising,</t>
  </si>
  <si>
    <t>Jobbing and Contract Work (416)</t>
  </si>
  <si>
    <t>Equity in Earnings of Subsidiary</t>
  </si>
  <si>
    <t>Companies (418)</t>
  </si>
  <si>
    <t>Interest and Dividend Income (419)</t>
  </si>
  <si>
    <t xml:space="preserve">Allow. for funds Used During </t>
  </si>
  <si>
    <t>Construction (420)</t>
  </si>
  <si>
    <t>Nonutility Income (421)</t>
  </si>
  <si>
    <t>Gains (Losses) Form Disposition</t>
  </si>
  <si>
    <t>Nonutility Property (422)</t>
  </si>
  <si>
    <t>Miscellaneous Nonutility Expenses (426)</t>
  </si>
  <si>
    <t>Total Other Income and Deductions</t>
  </si>
  <si>
    <t xml:space="preserve">  TAXES APPLICABLE TO OTHER INCOME</t>
  </si>
  <si>
    <t>Taxes Other Than Income (408.2)</t>
  </si>
  <si>
    <t>Income Taxes (409.2, 410.2, 411.2,</t>
  </si>
  <si>
    <t>412.2, 412.3)</t>
  </si>
  <si>
    <t>Total Taxes Applicable To Other Income</t>
  </si>
  <si>
    <t>INTEREST EXPENSE</t>
  </si>
  <si>
    <t>Interest Expense (427)</t>
  </si>
  <si>
    <t>Amortization of Debt Discount &amp;</t>
  </si>
  <si>
    <t>Expense (428)</t>
  </si>
  <si>
    <t>Amortization of Premium on Debt (429)</t>
  </si>
  <si>
    <t>Total Interest Expense</t>
  </si>
  <si>
    <t>Income Before Extraordinary Items</t>
  </si>
  <si>
    <t xml:space="preserve">  EXTRAORDINARY ITEMS</t>
  </si>
  <si>
    <t>Extraordinary Income (433)</t>
  </si>
  <si>
    <t>Extraordinary Deductions (434)</t>
  </si>
  <si>
    <t>Income Taxes, Extraordinary Items (409.3)</t>
  </si>
  <si>
    <t>Net Extraordinary Items</t>
  </si>
  <si>
    <t>NET INCOME (LOSS)</t>
  </si>
  <si>
    <t>Adjustments</t>
  </si>
  <si>
    <t xml:space="preserve">Year End </t>
  </si>
  <si>
    <t>Year End Balance</t>
  </si>
  <si>
    <t>Lakes Region Water Company</t>
  </si>
  <si>
    <t>Financing and Step Increases</t>
  </si>
  <si>
    <t>Balance Sheet</t>
  </si>
  <si>
    <t>Assets and Other Debits</t>
  </si>
  <si>
    <t>Equity Capital and Liabilities</t>
  </si>
  <si>
    <t>Statement of Income</t>
  </si>
  <si>
    <t>Journal Entries</t>
  </si>
  <si>
    <t>Miscellaneous Deferred Debits</t>
  </si>
  <si>
    <t>Cash</t>
  </si>
  <si>
    <t>To record costs associated with financing and step increase</t>
  </si>
  <si>
    <t>Dr.</t>
  </si>
  <si>
    <t>Cr.</t>
  </si>
  <si>
    <t>Plant</t>
  </si>
  <si>
    <t>Contribution in Aid of Construction</t>
  </si>
  <si>
    <t>Depreciation Expense</t>
  </si>
  <si>
    <t>Accumulated Depreciation</t>
  </si>
  <si>
    <t>To record annual depreciation expense</t>
  </si>
  <si>
    <t>Accumulated Amortization of CIAC</t>
  </si>
  <si>
    <t>Amortization Expense</t>
  </si>
  <si>
    <t>To record annual amortization expense</t>
  </si>
  <si>
    <t>Operating Expenses</t>
  </si>
  <si>
    <t>To record increase in operating expenses</t>
  </si>
  <si>
    <t>Regulatory Commission expenses</t>
  </si>
  <si>
    <t>To record regulatory expenses associated with step increasse</t>
  </si>
  <si>
    <t xml:space="preserve">Dr. </t>
  </si>
  <si>
    <t>Taxes other than Income - State</t>
  </si>
  <si>
    <t>Taxes other than Income - Local</t>
  </si>
  <si>
    <t>State Business Enterprise Taxes</t>
  </si>
  <si>
    <t xml:space="preserve">Other Long Debt </t>
  </si>
  <si>
    <t>Interest Expense</t>
  </si>
  <si>
    <t>To record increase in property taxes and business enterprise taxes</t>
  </si>
  <si>
    <t>To record repayment of principal and interest</t>
  </si>
  <si>
    <t>Amortization of Debt Expense</t>
  </si>
  <si>
    <t>Miscellaneouse Deferred Debt</t>
  </si>
  <si>
    <t>To record amortization of debt expense</t>
  </si>
  <si>
    <t>Revenue</t>
  </si>
  <si>
    <t>Revenue - Surcharge</t>
  </si>
  <si>
    <t>To record receipt of revenue</t>
  </si>
  <si>
    <t>Impact</t>
  </si>
  <si>
    <t>on NI</t>
  </si>
  <si>
    <t>Total Impact on Net Income</t>
  </si>
  <si>
    <t>SPSt. Cyr</t>
  </si>
  <si>
    <t>Lakes Region Water Co., Inc.</t>
  </si>
  <si>
    <t>Preliminary Accumulated Amortization and Amortization Expense</t>
  </si>
  <si>
    <t>PUC</t>
  </si>
  <si>
    <t>Amort.</t>
  </si>
  <si>
    <t>Annual</t>
  </si>
  <si>
    <t>Accum</t>
  </si>
  <si>
    <t>Acct. No.</t>
  </si>
  <si>
    <t>Description</t>
  </si>
  <si>
    <t xml:space="preserve"> Cost </t>
  </si>
  <si>
    <t>Rate</t>
  </si>
  <si>
    <t xml:space="preserve"> Cost</t>
  </si>
  <si>
    <t>Water Tank</t>
  </si>
  <si>
    <t>Structures and Improvements</t>
  </si>
  <si>
    <t>Mains</t>
  </si>
  <si>
    <t>TOTAL</t>
  </si>
  <si>
    <t>175 Estates</t>
  </si>
  <si>
    <t>Pumping Equipment</t>
  </si>
  <si>
    <t>Water Treatment Equipment</t>
  </si>
  <si>
    <t>Hidden Valley</t>
  </si>
  <si>
    <t>Wells</t>
  </si>
  <si>
    <t>Indian Mound</t>
  </si>
  <si>
    <t>GRAND TOTAL</t>
  </si>
  <si>
    <t>Preliminary Accumulated Depreciation and Depreciation Expense</t>
  </si>
  <si>
    <t>Depr.</t>
  </si>
  <si>
    <t>Preliminary Calculation of Revenue Requirement</t>
  </si>
  <si>
    <t>Hidden</t>
  </si>
  <si>
    <t>Indian</t>
  </si>
  <si>
    <t>Estates</t>
  </si>
  <si>
    <t>Valley</t>
  </si>
  <si>
    <t>Mound</t>
  </si>
  <si>
    <t>Gunstock</t>
  </si>
  <si>
    <t>Total</t>
  </si>
  <si>
    <t>Projected</t>
  </si>
  <si>
    <t>Costs</t>
  </si>
  <si>
    <t xml:space="preserve">     Land</t>
  </si>
  <si>
    <t xml:space="preserve">     Structures and Improvements</t>
  </si>
  <si>
    <t xml:space="preserve">     Wells</t>
  </si>
  <si>
    <t xml:space="preserve">     Pumping Equipment</t>
  </si>
  <si>
    <t xml:space="preserve">     Water Treatment Equipment</t>
  </si>
  <si>
    <t xml:space="preserve">     Mains</t>
  </si>
  <si>
    <t xml:space="preserve">     Total</t>
  </si>
  <si>
    <t>Less: Depreciation</t>
  </si>
  <si>
    <t xml:space="preserve">Contribution in Aid of Construction </t>
  </si>
  <si>
    <t>Less: Accumulated Amortization of CIAC</t>
  </si>
  <si>
    <t>Net Contribution in Aid of Construction</t>
  </si>
  <si>
    <t>Plus: Working Capital</t>
  </si>
  <si>
    <t>Total Additional Rate Base</t>
  </si>
  <si>
    <t>Rate of Return</t>
  </si>
  <si>
    <t>Additional Net Operating Income Required</t>
  </si>
  <si>
    <t>Increase in Operating and Maintenance Expenses</t>
  </si>
  <si>
    <t>Increase in Depreciation Expense</t>
  </si>
  <si>
    <t>Increase in Amortization of CIAC</t>
  </si>
  <si>
    <t xml:space="preserve">Increase in Taxes other than Income - State </t>
  </si>
  <si>
    <t xml:space="preserve">Increase in Taxes other than Income - Town  </t>
  </si>
  <si>
    <t>Total Increase in Operating Expenses</t>
  </si>
  <si>
    <t>Total Additional Revenue Required</t>
  </si>
  <si>
    <t>Total Revenue Required</t>
  </si>
  <si>
    <t>Percentage Increase Required</t>
  </si>
  <si>
    <t>Proformed</t>
  </si>
  <si>
    <t>LONG TERM DEBT</t>
  </si>
  <si>
    <t>Total Capitalization</t>
  </si>
  <si>
    <t>Capital Structure</t>
  </si>
  <si>
    <t>Capitalization Ratios</t>
  </si>
  <si>
    <t xml:space="preserve">Proformed </t>
  </si>
  <si>
    <t>in DW 05-137</t>
  </si>
  <si>
    <t>Source of Funds:</t>
  </si>
  <si>
    <t>Use of Funds:</t>
  </si>
  <si>
    <t>Paradise Shores - Water Tank Project</t>
  </si>
  <si>
    <t>175 Estates - Pump Station, Pump Equipment, Water Treatment Equipment &amp; Mains</t>
  </si>
  <si>
    <t>Hidden Valley - Well Project</t>
  </si>
  <si>
    <t>Indian Mound - Well/Mains</t>
  </si>
  <si>
    <t>Brake Hill / Gunstock Glen - Pump Station, Pump Equipment &amp; Mains</t>
  </si>
  <si>
    <t xml:space="preserve">Total Use of Funds </t>
  </si>
  <si>
    <t>Ransmeier &amp; Spellman</t>
  </si>
  <si>
    <t>Norman E. Roberge</t>
  </si>
  <si>
    <t>Stephen P. St. Cyr &amp; Associates</t>
  </si>
  <si>
    <t>Total Financing Costs</t>
  </si>
  <si>
    <t>Estimated Financing and Step Increase Costs</t>
  </si>
  <si>
    <t xml:space="preserve">Tom &amp; Barbara Mason - Additional Paid in Capital </t>
  </si>
  <si>
    <t>Total Source of Funds</t>
  </si>
  <si>
    <t>SPS 1-1</t>
  </si>
  <si>
    <t>SPS 1-2</t>
  </si>
  <si>
    <t>SPS 2</t>
  </si>
  <si>
    <t>SPS 3</t>
  </si>
  <si>
    <t>SPS 4</t>
  </si>
  <si>
    <t>Financing and Step increases</t>
  </si>
  <si>
    <t>SPS 5</t>
  </si>
  <si>
    <t>SPS 6</t>
  </si>
  <si>
    <t>SPS 7</t>
  </si>
  <si>
    <t>SPS 9</t>
  </si>
  <si>
    <t>Paradise Shores</t>
  </si>
  <si>
    <t>Pumps</t>
  </si>
  <si>
    <t>Services</t>
  </si>
  <si>
    <t>Meters</t>
  </si>
  <si>
    <t>Meter</t>
  </si>
  <si>
    <t>Gunstock Glen</t>
  </si>
  <si>
    <t>Common Plant</t>
  </si>
  <si>
    <t>Vehicles</t>
  </si>
  <si>
    <t>Shop Equipment</t>
  </si>
  <si>
    <t>Paradise</t>
  </si>
  <si>
    <t>Shores</t>
  </si>
  <si>
    <t xml:space="preserve">     Services</t>
  </si>
  <si>
    <t xml:space="preserve">     Meters</t>
  </si>
  <si>
    <t>Glen</t>
  </si>
  <si>
    <t>Common</t>
  </si>
  <si>
    <t xml:space="preserve">     Vehicles</t>
  </si>
  <si>
    <t xml:space="preserve">     Shop Equipment</t>
  </si>
  <si>
    <t>2007 Proformed</t>
  </si>
  <si>
    <t>2007 Year</t>
  </si>
  <si>
    <t>General Plant - Vehicles &amp; Shop Equipment</t>
  </si>
  <si>
    <t>Pump house</t>
  </si>
  <si>
    <t>Land</t>
  </si>
  <si>
    <t xml:space="preserve">Water Tank </t>
  </si>
  <si>
    <t>Pump House</t>
  </si>
  <si>
    <t>Other</t>
  </si>
  <si>
    <t>Miscellaneous</t>
  </si>
  <si>
    <t xml:space="preserve">     Computer Equipment</t>
  </si>
  <si>
    <t xml:space="preserve">     Other Plant &amp; Miscellaneous Equipment</t>
  </si>
  <si>
    <t>To record additional investment in plant</t>
  </si>
  <si>
    <t xml:space="preserve">Utility Plant in Service (101) </t>
  </si>
  <si>
    <t>Construction Work in Progress (105)</t>
  </si>
  <si>
    <t>Additional Paid in Capital (1)</t>
  </si>
  <si>
    <t>Other Long Term Debt (1)</t>
  </si>
  <si>
    <t>Note (3) $200,000 of the $300,000 total CIAC is reflected in the 12/31/07 balance.</t>
  </si>
  <si>
    <t>Plant (2)</t>
  </si>
  <si>
    <t>Contribution in Aid of Construction (3)</t>
  </si>
  <si>
    <t>To record receipt of cash and related paid in capital and liability</t>
  </si>
  <si>
    <t xml:space="preserve">State Property Taxes </t>
  </si>
  <si>
    <t>Thousand Dollars of Assessed Value</t>
  </si>
  <si>
    <t>Property Tax Rate</t>
  </si>
  <si>
    <t>State Property Taxes</t>
  </si>
  <si>
    <t>Local Property Taxes</t>
  </si>
  <si>
    <t>SPS-8</t>
  </si>
  <si>
    <t>SPS 10</t>
  </si>
  <si>
    <t>Financing and Step Increase</t>
  </si>
  <si>
    <t>Taxes</t>
  </si>
  <si>
    <t>Total Project Costs</t>
  </si>
  <si>
    <t>Adjusted $000 of Assessed Value</t>
  </si>
  <si>
    <t>Federal Income Taxes</t>
  </si>
  <si>
    <t>State Business Taxes</t>
  </si>
  <si>
    <t>Pretax Income</t>
  </si>
  <si>
    <t>State Business Taxes Rate</t>
  </si>
  <si>
    <t xml:space="preserve">State Business Taxes </t>
  </si>
  <si>
    <t>Pretax Federal Income</t>
  </si>
  <si>
    <t>Federal Income Rate</t>
  </si>
  <si>
    <t>Increase in Income Taxes - Federal</t>
  </si>
  <si>
    <t>Increase in Business Taxes - State</t>
  </si>
  <si>
    <t>Bank Financing and/or Tom &amp; Barbara Mason - Other Long Term Debt</t>
  </si>
  <si>
    <t>Construction Work in Progress</t>
  </si>
  <si>
    <t>Total Costs of Projects</t>
  </si>
  <si>
    <t>Total Contribution in Aid of Construction</t>
  </si>
  <si>
    <t>Total Financing Previously Approved</t>
  </si>
  <si>
    <t>Total Additional Financing Required</t>
  </si>
  <si>
    <t>2007 Operating Revenues</t>
  </si>
  <si>
    <t>Note (1) $469,406 of the $779,930 total financing is reflected in the 12/31/07 balance.</t>
  </si>
  <si>
    <t>Note (2) $307,828 of the $1,244,430 total plant is reflected in the 12/31/07 balance.</t>
  </si>
  <si>
    <t>Additions/Retirements to Rate Base:</t>
  </si>
  <si>
    <t>Plant Additions/Retirements:</t>
  </si>
  <si>
    <t>CIAC</t>
  </si>
  <si>
    <t xml:space="preserve">To record retirement of contibuted plant </t>
  </si>
  <si>
    <t>Accounts Payable</t>
  </si>
  <si>
    <t>Other Long Term Debt</t>
  </si>
  <si>
    <t>To adjust accounts payable and cash to more reasonable levels</t>
  </si>
  <si>
    <t>(b)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</si>
</sst>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6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 quotePrefix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wrapText="1"/>
    </xf>
    <xf numFmtId="3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wrapText="1"/>
    </xf>
    <xf numFmtId="0" fontId="4" fillId="0" borderId="8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/>
    </xf>
    <xf numFmtId="42" fontId="4" fillId="0" borderId="14" xfId="18" applyFont="1" applyBorder="1" applyAlignment="1">
      <alignment/>
    </xf>
    <xf numFmtId="42" fontId="4" fillId="0" borderId="8" xfId="18" applyFont="1" applyBorder="1" applyAlignment="1">
      <alignment/>
    </xf>
    <xf numFmtId="2" fontId="4" fillId="0" borderId="12" xfId="0" applyNumberFormat="1" applyFont="1" applyBorder="1" applyAlignment="1">
      <alignment wrapText="1"/>
    </xf>
    <xf numFmtId="41" fontId="4" fillId="0" borderId="15" xfId="16" applyFont="1" applyBorder="1" applyAlignment="1">
      <alignment/>
    </xf>
    <xf numFmtId="42" fontId="4" fillId="0" borderId="12" xfId="18" applyFont="1" applyBorder="1" applyAlignment="1">
      <alignment/>
    </xf>
    <xf numFmtId="41" fontId="4" fillId="0" borderId="12" xfId="16" applyFont="1" applyBorder="1" applyAlignment="1">
      <alignment/>
    </xf>
    <xf numFmtId="41" fontId="4" fillId="0" borderId="8" xfId="16" applyFont="1" applyBorder="1" applyAlignment="1">
      <alignment/>
    </xf>
    <xf numFmtId="42" fontId="4" fillId="0" borderId="16" xfId="18" applyFont="1" applyBorder="1" applyAlignment="1">
      <alignment/>
    </xf>
    <xf numFmtId="42" fontId="4" fillId="0" borderId="15" xfId="18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4" fillId="0" borderId="13" xfId="0" applyFont="1" applyBorder="1" applyAlignment="1">
      <alignment horizontal="center"/>
    </xf>
    <xf numFmtId="42" fontId="4" fillId="0" borderId="17" xfId="18" applyFont="1" applyBorder="1" applyAlignment="1">
      <alignment/>
    </xf>
    <xf numFmtId="2" fontId="1" fillId="0" borderId="12" xfId="0" applyNumberFormat="1" applyFont="1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2" fontId="4" fillId="0" borderId="19" xfId="18" applyFont="1" applyBorder="1" applyAlignment="1">
      <alignment/>
    </xf>
    <xf numFmtId="42" fontId="4" fillId="0" borderId="20" xfId="18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44" fontId="4" fillId="0" borderId="6" xfId="17" applyFont="1" applyBorder="1" applyAlignment="1">
      <alignment/>
    </xf>
    <xf numFmtId="44" fontId="4" fillId="0" borderId="9" xfId="17" applyFont="1" applyBorder="1" applyAlignment="1">
      <alignment/>
    </xf>
    <xf numFmtId="42" fontId="4" fillId="0" borderId="6" xfId="18" applyBorder="1" applyAlignment="1">
      <alignment/>
    </xf>
    <xf numFmtId="42" fontId="4" fillId="0" borderId="9" xfId="18" applyBorder="1" applyAlignment="1">
      <alignment/>
    </xf>
    <xf numFmtId="41" fontId="4" fillId="0" borderId="6" xfId="16" applyFont="1" applyBorder="1" applyAlignment="1">
      <alignment/>
    </xf>
    <xf numFmtId="41" fontId="4" fillId="0" borderId="9" xfId="16" applyFont="1" applyBorder="1" applyAlignment="1">
      <alignment/>
    </xf>
    <xf numFmtId="164" fontId="4" fillId="0" borderId="9" xfId="15" applyNumberFormat="1" applyBorder="1" applyAlignment="1">
      <alignment horizontal="right"/>
    </xf>
    <xf numFmtId="164" fontId="4" fillId="0" borderId="9" xfId="15" applyNumberFormat="1" applyBorder="1" applyAlignment="1">
      <alignment/>
    </xf>
    <xf numFmtId="0" fontId="4" fillId="0" borderId="6" xfId="0" applyFont="1" applyBorder="1" applyAlignment="1">
      <alignment/>
    </xf>
    <xf numFmtId="164" fontId="4" fillId="0" borderId="9" xfId="15" applyNumberFormat="1" applyFont="1" applyBorder="1" applyAlignment="1">
      <alignment/>
    </xf>
    <xf numFmtId="42" fontId="4" fillId="0" borderId="17" xfId="18" applyFont="1" applyBorder="1" applyAlignment="1">
      <alignment/>
    </xf>
    <xf numFmtId="42" fontId="4" fillId="0" borderId="15" xfId="18" applyBorder="1" applyAlignment="1">
      <alignment/>
    </xf>
    <xf numFmtId="165" fontId="4" fillId="0" borderId="6" xfId="0" applyNumberFormat="1" applyFont="1" applyBorder="1" applyAlignment="1">
      <alignment/>
    </xf>
    <xf numFmtId="165" fontId="4" fillId="0" borderId="9" xfId="17" applyNumberFormat="1" applyFont="1" applyBorder="1" applyAlignment="1">
      <alignment/>
    </xf>
    <xf numFmtId="0" fontId="1" fillId="0" borderId="0" xfId="0" applyFont="1" applyBorder="1" applyAlignment="1">
      <alignment/>
    </xf>
    <xf numFmtId="41" fontId="4" fillId="0" borderId="0" xfId="16" applyFont="1" applyBorder="1" applyAlignment="1">
      <alignment/>
    </xf>
    <xf numFmtId="43" fontId="4" fillId="0" borderId="8" xfId="15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8" xfId="17" applyNumberFormat="1" applyFont="1" applyBorder="1" applyAlignment="1">
      <alignment/>
    </xf>
    <xf numFmtId="41" fontId="4" fillId="0" borderId="8" xfId="16" applyFont="1" applyBorder="1" applyAlignment="1">
      <alignment/>
    </xf>
    <xf numFmtId="42" fontId="4" fillId="0" borderId="26" xfId="18" applyFont="1" applyBorder="1" applyAlignment="1">
      <alignment/>
    </xf>
    <xf numFmtId="0" fontId="0" fillId="0" borderId="7" xfId="0" applyBorder="1" applyAlignment="1">
      <alignment/>
    </xf>
    <xf numFmtId="0" fontId="4" fillId="0" borderId="12" xfId="0" applyFont="1" applyBorder="1" applyAlignment="1">
      <alignment/>
    </xf>
    <xf numFmtId="42" fontId="4" fillId="0" borderId="15" xfId="18" applyFont="1" applyBorder="1" applyAlignment="1">
      <alignment/>
    </xf>
    <xf numFmtId="165" fontId="4" fillId="0" borderId="27" xfId="0" applyNumberFormat="1" applyFont="1" applyBorder="1" applyAlignment="1">
      <alignment/>
    </xf>
    <xf numFmtId="0" fontId="0" fillId="0" borderId="9" xfId="0" applyBorder="1" applyAlignment="1">
      <alignment/>
    </xf>
    <xf numFmtId="41" fontId="4" fillId="0" borderId="10" xfId="16" applyFont="1" applyBorder="1" applyAlignment="1">
      <alignment/>
    </xf>
    <xf numFmtId="42" fontId="4" fillId="0" borderId="27" xfId="18" applyBorder="1" applyAlignment="1">
      <alignment/>
    </xf>
    <xf numFmtId="42" fontId="4" fillId="0" borderId="28" xfId="18" applyBorder="1" applyAlignment="1">
      <alignment/>
    </xf>
    <xf numFmtId="0" fontId="4" fillId="0" borderId="1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2" fontId="4" fillId="0" borderId="30" xfId="18" applyBorder="1" applyAlignment="1">
      <alignment/>
    </xf>
    <xf numFmtId="42" fontId="4" fillId="0" borderId="31" xfId="18" applyBorder="1" applyAlignment="1">
      <alignment/>
    </xf>
    <xf numFmtId="0" fontId="2" fillId="0" borderId="0" xfId="0" applyFont="1" applyAlignment="1">
      <alignment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/>
    </xf>
    <xf numFmtId="42" fontId="4" fillId="0" borderId="10" xfId="18" applyFont="1" applyBorder="1" applyAlignment="1">
      <alignment/>
    </xf>
    <xf numFmtId="42" fontId="4" fillId="0" borderId="11" xfId="18" applyFont="1" applyBorder="1" applyAlignment="1">
      <alignment/>
    </xf>
    <xf numFmtId="42" fontId="4" fillId="0" borderId="32" xfId="18" applyFont="1" applyBorder="1" applyAlignment="1">
      <alignment/>
    </xf>
    <xf numFmtId="41" fontId="0" fillId="0" borderId="6" xfId="16" applyBorder="1" applyAlignment="1">
      <alignment/>
    </xf>
    <xf numFmtId="0" fontId="1" fillId="0" borderId="0" xfId="0" applyFont="1" applyBorder="1" applyAlignment="1">
      <alignment/>
    </xf>
    <xf numFmtId="41" fontId="4" fillId="0" borderId="12" xfId="16" applyFont="1" applyBorder="1" applyAlignment="1">
      <alignment/>
    </xf>
    <xf numFmtId="0" fontId="1" fillId="0" borderId="12" xfId="0" applyFont="1" applyBorder="1" applyAlignment="1">
      <alignment/>
    </xf>
    <xf numFmtId="42" fontId="4" fillId="0" borderId="16" xfId="18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2" fontId="4" fillId="0" borderId="29" xfId="18" applyFont="1" applyBorder="1" applyAlignment="1">
      <alignment/>
    </xf>
    <xf numFmtId="42" fontId="4" fillId="0" borderId="20" xfId="18" applyFont="1" applyBorder="1" applyAlignment="1">
      <alignment/>
    </xf>
    <xf numFmtId="37" fontId="4" fillId="0" borderId="9" xfId="15" applyNumberFormat="1" applyBorder="1" applyAlignment="1">
      <alignment/>
    </xf>
    <xf numFmtId="0" fontId="3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" xfId="0" applyFont="1" applyBorder="1" applyAlignment="1">
      <alignment/>
    </xf>
    <xf numFmtId="0" fontId="1" fillId="0" borderId="33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1" fillId="0" borderId="33" xfId="0" applyFont="1" applyBorder="1" applyAlignment="1">
      <alignment horizontal="right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37" fontId="0" fillId="0" borderId="0" xfId="0" applyNumberFormat="1" applyAlignment="1">
      <alignment/>
    </xf>
    <xf numFmtId="37" fontId="0" fillId="0" borderId="13" xfId="0" applyNumberFormat="1" applyBorder="1" applyAlignment="1">
      <alignment/>
    </xf>
    <xf numFmtId="14" fontId="0" fillId="0" borderId="0" xfId="0" applyNumberFormat="1" applyAlignment="1">
      <alignment horizontal="left"/>
    </xf>
    <xf numFmtId="0" fontId="7" fillId="0" borderId="0" xfId="0" applyFont="1" applyAlignment="1">
      <alignment/>
    </xf>
    <xf numFmtId="166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6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6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7" fillId="0" borderId="0" xfId="0" applyNumberFormat="1" applyFont="1" applyAlignment="1">
      <alignment/>
    </xf>
    <xf numFmtId="42" fontId="0" fillId="0" borderId="6" xfId="18" applyFont="1" applyBorder="1" applyAlignment="1">
      <alignment/>
    </xf>
    <xf numFmtId="41" fontId="0" fillId="0" borderId="6" xfId="16" applyFont="1" applyBorder="1" applyAlignment="1">
      <alignment/>
    </xf>
    <xf numFmtId="42" fontId="0" fillId="0" borderId="17" xfId="18" applyFont="1" applyBorder="1" applyAlignment="1">
      <alignment/>
    </xf>
    <xf numFmtId="42" fontId="0" fillId="0" borderId="15" xfId="18" applyFont="1" applyBorder="1" applyAlignment="1">
      <alignment/>
    </xf>
    <xf numFmtId="165" fontId="0" fillId="0" borderId="6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34" xfId="0" applyFont="1" applyFill="1" applyBorder="1" applyAlignment="1">
      <alignment horizontal="center"/>
    </xf>
    <xf numFmtId="0" fontId="0" fillId="0" borderId="21" xfId="0" applyBorder="1" applyAlignment="1">
      <alignment/>
    </xf>
    <xf numFmtId="14" fontId="2" fillId="0" borderId="6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42" fontId="0" fillId="0" borderId="30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6" xfId="16" applyNumberFormat="1" applyFont="1" applyBorder="1" applyAlignment="1">
      <alignment/>
    </xf>
    <xf numFmtId="3" fontId="0" fillId="0" borderId="9" xfId="0" applyNumberFormat="1" applyBorder="1" applyAlignment="1">
      <alignment/>
    </xf>
    <xf numFmtId="42" fontId="0" fillId="0" borderId="8" xfId="18" applyFont="1" applyBorder="1" applyAlignment="1">
      <alignment/>
    </xf>
    <xf numFmtId="41" fontId="0" fillId="0" borderId="8" xfId="16" applyFont="1" applyBorder="1" applyAlignment="1">
      <alignment/>
    </xf>
    <xf numFmtId="42" fontId="0" fillId="0" borderId="35" xfId="0" applyNumberFormat="1" applyFont="1" applyBorder="1" applyAlignment="1">
      <alignment/>
    </xf>
    <xf numFmtId="10" fontId="0" fillId="0" borderId="6" xfId="18" applyNumberFormat="1" applyFont="1" applyBorder="1" applyAlignment="1">
      <alignment/>
    </xf>
    <xf numFmtId="10" fontId="0" fillId="0" borderId="8" xfId="18" applyNumberFormat="1" applyFont="1" applyBorder="1" applyAlignment="1">
      <alignment/>
    </xf>
    <xf numFmtId="10" fontId="0" fillId="0" borderId="6" xfId="16" applyNumberFormat="1" applyFont="1" applyBorder="1" applyAlignment="1">
      <alignment/>
    </xf>
    <xf numFmtId="10" fontId="0" fillId="0" borderId="8" xfId="16" applyNumberFormat="1" applyFont="1" applyBorder="1" applyAlignment="1">
      <alignment/>
    </xf>
    <xf numFmtId="10" fontId="0" fillId="0" borderId="6" xfId="0" applyNumberFormat="1" applyFont="1" applyBorder="1" applyAlignment="1">
      <alignment/>
    </xf>
    <xf numFmtId="10" fontId="0" fillId="0" borderId="17" xfId="18" applyNumberFormat="1" applyFont="1" applyBorder="1" applyAlignment="1">
      <alignment/>
    </xf>
    <xf numFmtId="10" fontId="0" fillId="0" borderId="15" xfId="18" applyNumberFormat="1" applyFont="1" applyBorder="1" applyAlignment="1">
      <alignment/>
    </xf>
    <xf numFmtId="10" fontId="0" fillId="0" borderId="30" xfId="0" applyNumberFormat="1" applyFont="1" applyBorder="1" applyAlignment="1">
      <alignment/>
    </xf>
    <xf numFmtId="10" fontId="0" fillId="0" borderId="35" xfId="0" applyNumberFormat="1" applyFont="1" applyBorder="1" applyAlignment="1">
      <alignment/>
    </xf>
    <xf numFmtId="10" fontId="0" fillId="0" borderId="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1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36" xfId="0" applyBorder="1" applyAlignment="1">
      <alignment/>
    </xf>
    <xf numFmtId="166" fontId="0" fillId="0" borderId="0" xfId="0" applyNumberFormat="1" applyFont="1" applyAlignment="1">
      <alignment horizontal="right"/>
    </xf>
    <xf numFmtId="10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38" fontId="0" fillId="0" borderId="0" xfId="0" applyNumberFormat="1" applyFont="1" applyAlignment="1">
      <alignment/>
    </xf>
    <xf numFmtId="3" fontId="1" fillId="0" borderId="13" xfId="0" applyNumberFormat="1" applyFont="1" applyBorder="1" applyAlignment="1">
      <alignment horizontal="center" wrapText="1"/>
    </xf>
    <xf numFmtId="166" fontId="4" fillId="0" borderId="12" xfId="0" applyNumberFormat="1" applyFont="1" applyBorder="1" applyAlignment="1">
      <alignment wrapText="1"/>
    </xf>
    <xf numFmtId="4" fontId="7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0" fontId="1" fillId="0" borderId="1" xfId="0" applyFont="1" applyBorder="1" applyAlignment="1">
      <alignment/>
    </xf>
    <xf numFmtId="42" fontId="0" fillId="0" borderId="0" xfId="0" applyNumberFormat="1" applyAlignment="1">
      <alignment/>
    </xf>
    <xf numFmtId="166" fontId="4" fillId="0" borderId="8" xfId="16" applyNumberFormat="1" applyFont="1" applyBorder="1" applyAlignment="1">
      <alignment/>
    </xf>
    <xf numFmtId="3" fontId="4" fillId="0" borderId="14" xfId="0" applyNumberFormat="1" applyFont="1" applyBorder="1" applyAlignment="1">
      <alignment wrapText="1"/>
    </xf>
    <xf numFmtId="37" fontId="4" fillId="0" borderId="14" xfId="0" applyNumberFormat="1" applyFont="1" applyBorder="1" applyAlignment="1">
      <alignment wrapText="1"/>
    </xf>
    <xf numFmtId="37" fontId="4" fillId="0" borderId="37" xfId="16" applyNumberFormat="1" applyFont="1" applyBorder="1" applyAlignment="1">
      <alignment/>
    </xf>
    <xf numFmtId="5" fontId="0" fillId="0" borderId="0" xfId="0" applyNumberFormat="1" applyAlignment="1">
      <alignment/>
    </xf>
    <xf numFmtId="0" fontId="1" fillId="0" borderId="3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60.7109375" style="0" customWidth="1"/>
    <col min="3" max="5" width="20.7109375" style="0" customWidth="1"/>
  </cols>
  <sheetData>
    <row r="1" spans="1:5" ht="20.25">
      <c r="A1" s="123" t="s">
        <v>197</v>
      </c>
      <c r="B1" s="2"/>
      <c r="C1" s="3"/>
      <c r="D1" s="4"/>
      <c r="E1" s="5" t="s">
        <v>319</v>
      </c>
    </row>
    <row r="2" spans="1:5" ht="15.75">
      <c r="A2" s="6"/>
      <c r="B2" s="7"/>
      <c r="C2" s="8"/>
      <c r="D2" s="9"/>
      <c r="E2" s="7"/>
    </row>
    <row r="3" spans="1:5" ht="15.75">
      <c r="A3" s="6" t="s">
        <v>198</v>
      </c>
      <c r="B3" s="7"/>
      <c r="C3" s="8"/>
      <c r="D3" s="9"/>
      <c r="E3" s="7"/>
    </row>
    <row r="4" spans="1:5" ht="12.75">
      <c r="A4" s="10"/>
      <c r="B4" s="11"/>
      <c r="C4" s="11"/>
      <c r="D4" s="11"/>
      <c r="E4" s="11"/>
    </row>
    <row r="5" spans="1:5" ht="15.75">
      <c r="A5" s="124" t="s">
        <v>199</v>
      </c>
      <c r="B5" s="11"/>
      <c r="C5" s="12"/>
      <c r="D5" s="12"/>
      <c r="E5" s="12"/>
    </row>
    <row r="6" spans="1:5" ht="15.75">
      <c r="A6" s="125" t="s">
        <v>200</v>
      </c>
      <c r="B6" s="12"/>
      <c r="C6" s="12"/>
      <c r="D6" s="12"/>
      <c r="E6" s="12"/>
    </row>
    <row r="7" spans="1:5" ht="21" thickBot="1">
      <c r="A7" s="13"/>
      <c r="B7" s="14"/>
      <c r="C7" s="15"/>
      <c r="D7" s="15"/>
      <c r="E7" s="16"/>
    </row>
    <row r="8" spans="1:5" ht="15.75">
      <c r="A8" s="17"/>
      <c r="B8" s="18"/>
      <c r="C8" s="19">
        <v>2007</v>
      </c>
      <c r="D8" s="19"/>
      <c r="E8" s="20" t="s">
        <v>346</v>
      </c>
    </row>
    <row r="9" spans="1:5" ht="15.75">
      <c r="A9" s="25" t="s">
        <v>1</v>
      </c>
      <c r="B9" s="108"/>
      <c r="C9" s="23" t="s">
        <v>0</v>
      </c>
      <c r="D9" s="22"/>
      <c r="E9" s="24" t="s">
        <v>195</v>
      </c>
    </row>
    <row r="10" spans="1:5" ht="15.75">
      <c r="A10" s="31" t="s">
        <v>4</v>
      </c>
      <c r="B10" s="22" t="s">
        <v>2</v>
      </c>
      <c r="C10" s="26" t="s">
        <v>3</v>
      </c>
      <c r="D10" s="22" t="s">
        <v>194</v>
      </c>
      <c r="E10" s="27" t="s">
        <v>3</v>
      </c>
    </row>
    <row r="11" spans="1:5" ht="15.75">
      <c r="A11" s="29" t="s">
        <v>5</v>
      </c>
      <c r="B11" s="29" t="s">
        <v>402</v>
      </c>
      <c r="C11" s="28" t="s">
        <v>6</v>
      </c>
      <c r="D11" s="29" t="s">
        <v>7</v>
      </c>
      <c r="E11" s="30" t="s">
        <v>8</v>
      </c>
    </row>
    <row r="12" spans="1:5" ht="15.75">
      <c r="A12" s="31"/>
      <c r="B12" s="32" t="s">
        <v>9</v>
      </c>
      <c r="C12" s="33"/>
      <c r="D12" s="33"/>
      <c r="E12" s="34"/>
    </row>
    <row r="13" spans="1:5" ht="15.75">
      <c r="A13" s="191"/>
      <c r="B13" s="36" t="s">
        <v>358</v>
      </c>
      <c r="C13" s="192">
        <v>3225981</v>
      </c>
      <c r="D13" s="192">
        <f>-JEs!H23+JEs!G28</f>
        <v>844548</v>
      </c>
      <c r="E13" s="198">
        <f>+C13+D13</f>
        <v>4070529</v>
      </c>
    </row>
    <row r="14" spans="1:5" ht="15.75">
      <c r="A14" s="191"/>
      <c r="B14" s="36" t="s">
        <v>359</v>
      </c>
      <c r="C14" s="199">
        <v>514786</v>
      </c>
      <c r="D14" s="200">
        <f>-JEs!H29</f>
        <v>-514786</v>
      </c>
      <c r="E14" s="201">
        <f>+C14+D14</f>
        <v>0</v>
      </c>
    </row>
    <row r="15" spans="1:5" ht="15">
      <c r="A15" s="35">
        <v>1</v>
      </c>
      <c r="B15" s="36" t="s">
        <v>10</v>
      </c>
      <c r="C15" s="37">
        <f>SUM(C13:C14)</f>
        <v>3740767</v>
      </c>
      <c r="D15" s="37">
        <f>SUM(D13:D14)</f>
        <v>329762</v>
      </c>
      <c r="E15" s="38">
        <f>+C15+D15</f>
        <v>4070529</v>
      </c>
    </row>
    <row r="16" spans="1:5" ht="15">
      <c r="A16" s="35">
        <v>2</v>
      </c>
      <c r="B16" s="39" t="s">
        <v>11</v>
      </c>
      <c r="C16" s="37">
        <v>1021051</v>
      </c>
      <c r="D16" s="37">
        <f>-JEs!G22+JEs!H37</f>
        <v>-66194.97416666667</v>
      </c>
      <c r="E16" s="40">
        <f>+C16+D16</f>
        <v>954856.0258333334</v>
      </c>
    </row>
    <row r="17" spans="1:5" ht="15">
      <c r="A17" s="35">
        <v>3</v>
      </c>
      <c r="B17" s="36" t="s">
        <v>12</v>
      </c>
      <c r="C17" s="41">
        <f>C15-C16</f>
        <v>2719716</v>
      </c>
      <c r="D17" s="41">
        <f>D15-D16</f>
        <v>395956.9741666667</v>
      </c>
      <c r="E17" s="38">
        <f>+C17+D17</f>
        <v>3115672.9741666666</v>
      </c>
    </row>
    <row r="18" spans="1:5" ht="15">
      <c r="A18" s="35">
        <v>4</v>
      </c>
      <c r="B18" s="39" t="s">
        <v>13</v>
      </c>
      <c r="C18" s="42">
        <v>-123106</v>
      </c>
      <c r="D18" s="42"/>
      <c r="E18" s="43">
        <f>+C18-D18</f>
        <v>-123106</v>
      </c>
    </row>
    <row r="19" spans="1:5" ht="15">
      <c r="A19" s="35" t="s">
        <v>14</v>
      </c>
      <c r="B19" s="36" t="s">
        <v>15</v>
      </c>
      <c r="C19" s="44">
        <f>C17+C18</f>
        <v>2596610</v>
      </c>
      <c r="D19" s="44">
        <f>D17-D18</f>
        <v>395956.9741666667</v>
      </c>
      <c r="E19" s="45">
        <f>SUM(C19+D19)</f>
        <v>2992566.9741666666</v>
      </c>
    </row>
    <row r="20" spans="1:5" ht="15.75">
      <c r="A20" s="35"/>
      <c r="B20" s="46" t="s">
        <v>16</v>
      </c>
      <c r="C20" s="47"/>
      <c r="D20" s="47"/>
      <c r="E20" s="48"/>
    </row>
    <row r="21" spans="1:5" ht="15">
      <c r="A21" s="49">
        <v>6</v>
      </c>
      <c r="B21" s="39" t="s">
        <v>17</v>
      </c>
      <c r="C21" s="42"/>
      <c r="D21" s="42"/>
      <c r="E21" s="43"/>
    </row>
    <row r="22" spans="1:5" ht="15">
      <c r="A22" s="35" t="s">
        <v>18</v>
      </c>
      <c r="B22" s="39" t="s">
        <v>19</v>
      </c>
      <c r="C22" s="42"/>
      <c r="D22" s="42"/>
      <c r="E22" s="43"/>
    </row>
    <row r="23" spans="1:5" ht="15">
      <c r="A23" s="35" t="s">
        <v>20</v>
      </c>
      <c r="B23" s="36" t="s">
        <v>21</v>
      </c>
      <c r="C23" s="44"/>
      <c r="D23" s="44"/>
      <c r="E23" s="45"/>
    </row>
    <row r="24" spans="1:5" ht="15">
      <c r="A24" s="35" t="s">
        <v>22</v>
      </c>
      <c r="B24" s="39" t="s">
        <v>23</v>
      </c>
      <c r="C24" s="42"/>
      <c r="D24" s="42"/>
      <c r="E24" s="43"/>
    </row>
    <row r="25" spans="1:5" ht="15">
      <c r="A25" s="35" t="s">
        <v>24</v>
      </c>
      <c r="B25" s="36" t="s">
        <v>25</v>
      </c>
      <c r="C25" s="42"/>
      <c r="D25" s="42"/>
      <c r="E25" s="43"/>
    </row>
    <row r="26" spans="1:5" ht="15">
      <c r="A26" s="35" t="s">
        <v>26</v>
      </c>
      <c r="B26" s="36" t="s">
        <v>27</v>
      </c>
      <c r="C26" s="42"/>
      <c r="D26" s="42"/>
      <c r="E26" s="43"/>
    </row>
    <row r="27" spans="1:5" ht="15">
      <c r="A27" s="35" t="s">
        <v>28</v>
      </c>
      <c r="B27" s="36" t="s">
        <v>29</v>
      </c>
      <c r="C27" s="42"/>
      <c r="D27" s="42"/>
      <c r="E27" s="43"/>
    </row>
    <row r="28" spans="1:5" ht="15">
      <c r="A28" s="35" t="s">
        <v>30</v>
      </c>
      <c r="B28" s="39" t="s">
        <v>31</v>
      </c>
      <c r="C28" s="50"/>
      <c r="D28" s="50"/>
      <c r="E28" s="45"/>
    </row>
    <row r="29" spans="1:5" ht="15.75">
      <c r="A29" s="35"/>
      <c r="B29" s="51" t="s">
        <v>32</v>
      </c>
      <c r="C29" s="47"/>
      <c r="D29" s="47"/>
      <c r="E29" s="48"/>
    </row>
    <row r="30" spans="1:5" ht="15">
      <c r="A30" s="35" t="s">
        <v>33</v>
      </c>
      <c r="B30" s="36" t="s">
        <v>34</v>
      </c>
      <c r="C30" s="42">
        <v>2150</v>
      </c>
      <c r="D30" s="42">
        <f>-JEs!H8+JEs!G11-JEs!H19-JEs!H31-JEs!H45-JEs!H56-JEs!H61+JEs!G68</f>
        <v>40000.40699166668</v>
      </c>
      <c r="E30" s="43">
        <f>SUM(C30+D30)</f>
        <v>42150.40699166668</v>
      </c>
    </row>
    <row r="31" spans="1:5" ht="15">
      <c r="A31" s="35" t="s">
        <v>35</v>
      </c>
      <c r="B31" s="52" t="s">
        <v>36</v>
      </c>
      <c r="C31" s="42"/>
      <c r="D31" s="42"/>
      <c r="E31" s="43"/>
    </row>
    <row r="32" spans="1:5" ht="15">
      <c r="A32" s="35" t="s">
        <v>37</v>
      </c>
      <c r="B32" s="53" t="s">
        <v>38</v>
      </c>
      <c r="C32" s="42"/>
      <c r="D32" s="42"/>
      <c r="E32" s="43"/>
    </row>
    <row r="33" spans="1:5" ht="15">
      <c r="A33" s="35" t="s">
        <v>39</v>
      </c>
      <c r="B33" s="52" t="s">
        <v>40</v>
      </c>
      <c r="C33" s="42"/>
      <c r="D33" s="42"/>
      <c r="E33" s="43"/>
    </row>
    <row r="34" spans="1:5" ht="15">
      <c r="A34" s="35" t="s">
        <v>41</v>
      </c>
      <c r="B34" s="53" t="s">
        <v>42</v>
      </c>
      <c r="C34" s="42"/>
      <c r="D34" s="42"/>
      <c r="E34" s="43"/>
    </row>
    <row r="35" spans="1:5" ht="15">
      <c r="A35" s="35" t="s">
        <v>43</v>
      </c>
      <c r="B35" s="53" t="s">
        <v>44</v>
      </c>
      <c r="C35" s="42">
        <v>83269</v>
      </c>
      <c r="D35" s="42"/>
      <c r="E35" s="43">
        <f>SUM(C35-D35)</f>
        <v>83269</v>
      </c>
    </row>
    <row r="36" spans="1:5" ht="15">
      <c r="A36" s="35" t="s">
        <v>45</v>
      </c>
      <c r="B36" s="53" t="s">
        <v>46</v>
      </c>
      <c r="C36" s="42">
        <v>26587</v>
      </c>
      <c r="D36" s="42"/>
      <c r="E36" s="43">
        <f>SUM(C36-D36)</f>
        <v>26587</v>
      </c>
    </row>
    <row r="37" spans="1:5" ht="15">
      <c r="A37" s="35" t="s">
        <v>47</v>
      </c>
      <c r="B37" s="53" t="s">
        <v>48</v>
      </c>
      <c r="C37" s="42"/>
      <c r="D37" s="42"/>
      <c r="E37" s="43"/>
    </row>
    <row r="38" spans="1:5" ht="15">
      <c r="A38" s="35" t="s">
        <v>49</v>
      </c>
      <c r="B38" s="53" t="s">
        <v>50</v>
      </c>
      <c r="C38" s="42">
        <v>45175</v>
      </c>
      <c r="D38" s="42"/>
      <c r="E38" s="43">
        <f>SUM(C38-D38)</f>
        <v>45175</v>
      </c>
    </row>
    <row r="39" spans="1:5" ht="15">
      <c r="A39" s="35" t="s">
        <v>51</v>
      </c>
      <c r="B39" s="52" t="s">
        <v>52</v>
      </c>
      <c r="C39" s="42"/>
      <c r="D39" s="42"/>
      <c r="E39" s="43"/>
    </row>
    <row r="40" spans="1:5" ht="15">
      <c r="A40" s="35" t="s">
        <v>53</v>
      </c>
      <c r="B40" s="52" t="s">
        <v>54</v>
      </c>
      <c r="C40" s="42">
        <v>35113</v>
      </c>
      <c r="D40" s="42"/>
      <c r="E40" s="43">
        <f>SUM(C40-D40)</f>
        <v>35113</v>
      </c>
    </row>
    <row r="41" spans="1:5" ht="15">
      <c r="A41" s="35" t="s">
        <v>55</v>
      </c>
      <c r="B41" s="52" t="s">
        <v>56</v>
      </c>
      <c r="C41" s="42">
        <v>3235</v>
      </c>
      <c r="D41" s="42"/>
      <c r="E41" s="43">
        <f>SUM(C41-D41)</f>
        <v>3235</v>
      </c>
    </row>
    <row r="42" spans="1:5" ht="15">
      <c r="A42" s="35" t="s">
        <v>57</v>
      </c>
      <c r="B42" s="52" t="s">
        <v>58</v>
      </c>
      <c r="C42" s="42"/>
      <c r="D42" s="42"/>
      <c r="E42" s="43"/>
    </row>
    <row r="43" spans="1:5" ht="15">
      <c r="A43" s="35" t="s">
        <v>59</v>
      </c>
      <c r="B43" s="52" t="s">
        <v>60</v>
      </c>
      <c r="C43" s="42"/>
      <c r="D43" s="42"/>
      <c r="E43" s="43"/>
    </row>
    <row r="44" spans="1:5" ht="15">
      <c r="A44" s="35" t="s">
        <v>61</v>
      </c>
      <c r="B44" s="52" t="s">
        <v>62</v>
      </c>
      <c r="C44" s="42"/>
      <c r="D44" s="42"/>
      <c r="E44" s="43"/>
    </row>
    <row r="45" spans="1:5" ht="15">
      <c r="A45" s="35" t="s">
        <v>63</v>
      </c>
      <c r="B45" s="52" t="s">
        <v>64</v>
      </c>
      <c r="C45" s="42"/>
      <c r="D45" s="42"/>
      <c r="E45" s="43"/>
    </row>
    <row r="46" spans="1:5" ht="15">
      <c r="A46" s="35" t="s">
        <v>65</v>
      </c>
      <c r="B46" s="52" t="s">
        <v>66</v>
      </c>
      <c r="C46" s="50">
        <f>SUM(C30:C45)</f>
        <v>195529</v>
      </c>
      <c r="D46" s="50">
        <f>SUM(D30:D45)</f>
        <v>40000.40699166668</v>
      </c>
      <c r="E46" s="45">
        <f>SUM(C46+D46)</f>
        <v>235529.40699166668</v>
      </c>
    </row>
    <row r="47" spans="1:5" ht="15.75">
      <c r="A47" s="35"/>
      <c r="B47" s="54" t="s">
        <v>67</v>
      </c>
      <c r="C47" s="47"/>
      <c r="D47" s="47"/>
      <c r="E47" s="48"/>
    </row>
    <row r="48" spans="1:5" ht="15">
      <c r="A48" s="35" t="s">
        <v>65</v>
      </c>
      <c r="B48" s="52" t="s">
        <v>68</v>
      </c>
      <c r="C48" s="42">
        <v>12365</v>
      </c>
      <c r="D48" s="42">
        <f>+JEs!G7-JEs!H49-JEs!H65</f>
        <v>4750</v>
      </c>
      <c r="E48" s="43">
        <f>SUM(C48+D48)</f>
        <v>17115</v>
      </c>
    </row>
    <row r="49" spans="1:5" ht="15">
      <c r="A49" s="35" t="s">
        <v>69</v>
      </c>
      <c r="B49" s="52" t="s">
        <v>70</v>
      </c>
      <c r="C49" s="42"/>
      <c r="D49" s="42"/>
      <c r="E49" s="43"/>
    </row>
    <row r="50" spans="1:5" ht="15">
      <c r="A50" s="35" t="s">
        <v>71</v>
      </c>
      <c r="B50" s="52" t="s">
        <v>72</v>
      </c>
      <c r="C50" s="42"/>
      <c r="D50" s="42"/>
      <c r="E50" s="43"/>
    </row>
    <row r="51" spans="1:5" ht="15">
      <c r="A51" s="35" t="s">
        <v>73</v>
      </c>
      <c r="B51" s="52" t="s">
        <v>74</v>
      </c>
      <c r="C51" s="42"/>
      <c r="D51" s="42"/>
      <c r="E51" s="43"/>
    </row>
    <row r="52" spans="1:5" ht="15">
      <c r="A52" s="35" t="s">
        <v>75</v>
      </c>
      <c r="B52" s="52" t="s">
        <v>76</v>
      </c>
      <c r="C52" s="42"/>
      <c r="D52" s="42"/>
      <c r="E52" s="43"/>
    </row>
    <row r="53" spans="1:5" ht="15">
      <c r="A53" s="35" t="s">
        <v>77</v>
      </c>
      <c r="B53" s="52" t="s">
        <v>78</v>
      </c>
      <c r="C53" s="42">
        <v>38624</v>
      </c>
      <c r="D53" s="42"/>
      <c r="E53" s="43">
        <f>SUM(C53-D53)</f>
        <v>38624</v>
      </c>
    </row>
    <row r="54" spans="1:5" ht="15">
      <c r="A54" s="35" t="s">
        <v>79</v>
      </c>
      <c r="B54" s="52" t="s">
        <v>80</v>
      </c>
      <c r="C54" s="42"/>
      <c r="D54" s="42"/>
      <c r="E54" s="43"/>
    </row>
    <row r="55" spans="1:5" ht="15">
      <c r="A55" s="35" t="s">
        <v>81</v>
      </c>
      <c r="B55" s="52" t="s">
        <v>82</v>
      </c>
      <c r="C55" s="42"/>
      <c r="D55" s="42"/>
      <c r="E55" s="43"/>
    </row>
    <row r="56" spans="1:5" ht="15">
      <c r="A56" s="35" t="s">
        <v>83</v>
      </c>
      <c r="B56" s="52" t="s">
        <v>84</v>
      </c>
      <c r="C56" s="44">
        <f>SUM(C48:C55)</f>
        <v>50989</v>
      </c>
      <c r="D56" s="44">
        <f>SUM(D48:D55)</f>
        <v>4750</v>
      </c>
      <c r="E56" s="45">
        <f>SUM(C56+D56)</f>
        <v>55739</v>
      </c>
    </row>
    <row r="57" spans="1:5" ht="16.5" thickBot="1">
      <c r="A57" s="55"/>
      <c r="B57" s="56" t="s">
        <v>85</v>
      </c>
      <c r="C57" s="57">
        <f>C19+C23+C28+C46+C56</f>
        <v>2843128</v>
      </c>
      <c r="D57" s="57">
        <f>D19+D23+D28+D46+D56</f>
        <v>440707.3811583334</v>
      </c>
      <c r="E57" s="58">
        <f>E19+E23+E28+E46+E56</f>
        <v>3283835.3811583333</v>
      </c>
    </row>
    <row r="61" ht="12.75">
      <c r="A61" t="s">
        <v>238</v>
      </c>
    </row>
    <row r="62" ht="12.75">
      <c r="A62" s="136">
        <v>39582</v>
      </c>
    </row>
  </sheetData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workbookViewId="0" topLeftCell="A12">
      <selection activeCell="I5" sqref="I5"/>
    </sheetView>
  </sheetViews>
  <sheetFormatPr defaultColWidth="9.140625" defaultRowHeight="12.75"/>
  <cols>
    <col min="1" max="1" width="10.7109375" style="0" customWidth="1"/>
    <col min="9" max="9" width="10.140625" style="0" bestFit="1" customWidth="1"/>
  </cols>
  <sheetData>
    <row r="1" spans="1:9" ht="20.25">
      <c r="A1" s="123" t="s">
        <v>197</v>
      </c>
      <c r="B1" s="4"/>
      <c r="C1" s="4"/>
      <c r="D1" s="4"/>
      <c r="E1" s="4"/>
      <c r="F1" s="4"/>
      <c r="G1" s="4"/>
      <c r="H1" s="4"/>
      <c r="I1" s="5" t="s">
        <v>328</v>
      </c>
    </row>
    <row r="2" ht="15.75">
      <c r="A2" s="6"/>
    </row>
    <row r="3" ht="15.75">
      <c r="A3" s="6" t="s">
        <v>198</v>
      </c>
    </row>
    <row r="5" spans="1:9" ht="12.75">
      <c r="A5" t="s">
        <v>388</v>
      </c>
      <c r="I5" s="144">
        <f>+DeprAD!C56</f>
        <v>1244430</v>
      </c>
    </row>
    <row r="6" spans="1:9" ht="12.75">
      <c r="A6" t="s">
        <v>389</v>
      </c>
      <c r="I6" s="185">
        <v>300000</v>
      </c>
    </row>
    <row r="7" spans="1:9" ht="12.75">
      <c r="A7" t="s">
        <v>390</v>
      </c>
      <c r="I7" s="140">
        <v>164500</v>
      </c>
    </row>
    <row r="8" spans="1:9" ht="12.75">
      <c r="A8" t="s">
        <v>391</v>
      </c>
      <c r="I8" s="143">
        <f>+I5-I6-I7</f>
        <v>779930</v>
      </c>
    </row>
    <row r="9" ht="12.75">
      <c r="I9" s="143"/>
    </row>
    <row r="10" spans="1:9" ht="12.75">
      <c r="A10" s="181" t="s">
        <v>304</v>
      </c>
      <c r="I10" s="143"/>
    </row>
    <row r="11" ht="12.75">
      <c r="I11" s="143"/>
    </row>
    <row r="12" spans="1:9" ht="12.75">
      <c r="A12" t="s">
        <v>317</v>
      </c>
      <c r="I12" s="138">
        <v>150000</v>
      </c>
    </row>
    <row r="13" spans="1:9" ht="12.75">
      <c r="A13" t="s">
        <v>386</v>
      </c>
      <c r="I13" s="143">
        <f>+I8-I12</f>
        <v>629930</v>
      </c>
    </row>
    <row r="14" spans="1:9" ht="12.75">
      <c r="A14" t="s">
        <v>318</v>
      </c>
      <c r="I14" s="143">
        <f>SUM(I12:I13)</f>
        <v>779930</v>
      </c>
    </row>
    <row r="16" ht="12.75">
      <c r="A16" s="181" t="s">
        <v>305</v>
      </c>
    </row>
    <row r="18" spans="1:9" ht="12.75">
      <c r="A18" t="s">
        <v>306</v>
      </c>
      <c r="I18" s="144">
        <v>285500</v>
      </c>
    </row>
    <row r="19" spans="1:9" ht="12.75">
      <c r="A19" t="s">
        <v>308</v>
      </c>
      <c r="I19" s="132">
        <v>151964</v>
      </c>
    </row>
    <row r="20" spans="1:9" ht="12.75">
      <c r="A20" t="s">
        <v>307</v>
      </c>
      <c r="I20" s="132">
        <v>167594</v>
      </c>
    </row>
    <row r="21" spans="1:9" ht="12.75">
      <c r="A21" t="s">
        <v>309</v>
      </c>
      <c r="I21" s="132">
        <v>10395</v>
      </c>
    </row>
    <row r="22" spans="1:9" ht="12.75">
      <c r="A22" t="s">
        <v>310</v>
      </c>
      <c r="I22" s="185">
        <v>90000</v>
      </c>
    </row>
    <row r="23" spans="1:9" ht="12.75">
      <c r="A23" t="s">
        <v>348</v>
      </c>
      <c r="I23" s="140">
        <v>74477</v>
      </c>
    </row>
    <row r="24" spans="1:9" ht="12.75">
      <c r="A24" t="s">
        <v>311</v>
      </c>
      <c r="I24" s="143">
        <f>SUM(I18:I23)</f>
        <v>779930</v>
      </c>
    </row>
    <row r="28" ht="12.75">
      <c r="A28" t="s">
        <v>238</v>
      </c>
    </row>
    <row r="29" ht="12.75">
      <c r="A29" s="136">
        <f>+BSAssets!A62</f>
        <v>39582</v>
      </c>
    </row>
  </sheetData>
  <printOptions/>
  <pageMargins left="0.75" right="0.75" top="1" bottom="1" header="0.5" footer="0.5"/>
  <pageSetup fitToHeight="1" fitToWidth="1"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workbookViewId="0" topLeftCell="A1">
      <selection activeCell="A16" sqref="A16"/>
    </sheetView>
  </sheetViews>
  <sheetFormatPr defaultColWidth="9.140625" defaultRowHeight="12.75"/>
  <cols>
    <col min="1" max="1" width="10.140625" style="0" bestFit="1" customWidth="1"/>
  </cols>
  <sheetData>
    <row r="1" spans="1:9" ht="20.25">
      <c r="A1" s="123" t="s">
        <v>197</v>
      </c>
      <c r="B1" s="4"/>
      <c r="C1" s="4"/>
      <c r="D1" s="4"/>
      <c r="E1" s="4"/>
      <c r="F1" s="4"/>
      <c r="G1" s="4"/>
      <c r="H1" s="4"/>
      <c r="I1" s="5" t="s">
        <v>372</v>
      </c>
    </row>
    <row r="2" ht="15.75">
      <c r="A2" s="6"/>
    </row>
    <row r="3" ht="15.75">
      <c r="A3" s="6" t="s">
        <v>198</v>
      </c>
    </row>
    <row r="4" ht="15">
      <c r="A4" s="182"/>
    </row>
    <row r="5" ht="15.75">
      <c r="A5" s="131" t="s">
        <v>316</v>
      </c>
    </row>
    <row r="7" spans="1:9" ht="12.75">
      <c r="A7" t="s">
        <v>312</v>
      </c>
      <c r="I7" s="144">
        <v>2000</v>
      </c>
    </row>
    <row r="8" ht="12.75">
      <c r="I8" s="144"/>
    </row>
    <row r="9" spans="1:9" ht="12.75">
      <c r="A9" t="s">
        <v>313</v>
      </c>
      <c r="I9" s="132">
        <v>4000</v>
      </c>
    </row>
    <row r="10" ht="12.75">
      <c r="I10" s="132"/>
    </row>
    <row r="11" spans="1:9" ht="12.75">
      <c r="A11" t="s">
        <v>314</v>
      </c>
      <c r="I11" s="140">
        <v>4000</v>
      </c>
    </row>
    <row r="12" ht="12.75">
      <c r="I12" s="143"/>
    </row>
    <row r="13" spans="1:9" ht="12.75">
      <c r="A13" t="s">
        <v>315</v>
      </c>
      <c r="I13" s="143">
        <f>SUM(I7:I11)</f>
        <v>10000</v>
      </c>
    </row>
    <row r="17" ht="12.75">
      <c r="A17" t="s">
        <v>238</v>
      </c>
    </row>
    <row r="18" ht="12.75">
      <c r="A18" s="136">
        <f>+BSAssets!A62</f>
        <v>39582</v>
      </c>
    </row>
  </sheetData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workbookViewId="0" topLeftCell="A1">
      <pane xSplit="7890" topLeftCell="F1" activePane="topLeft" state="split"/>
      <selection pane="topLeft" activeCell="A1" sqref="A1"/>
      <selection pane="topRight" activeCell="C1" sqref="C1"/>
    </sheetView>
  </sheetViews>
  <sheetFormatPr defaultColWidth="9.140625" defaultRowHeight="12.75"/>
  <cols>
    <col min="1" max="1" width="10.7109375" style="0" customWidth="1"/>
    <col min="2" max="2" width="60.7109375" style="0" customWidth="1"/>
    <col min="3" max="5" width="20.7109375" style="0" customWidth="1"/>
  </cols>
  <sheetData>
    <row r="1" spans="1:5" ht="20.25">
      <c r="A1" s="126" t="str">
        <f>+BSAssets!A1:A6</f>
        <v>Lakes Region Water Company</v>
      </c>
      <c r="B1" s="4"/>
      <c r="C1" s="4"/>
      <c r="D1" s="4"/>
      <c r="E1" s="5" t="s">
        <v>320</v>
      </c>
    </row>
    <row r="2" spans="1:5" ht="15.75">
      <c r="A2" s="127"/>
      <c r="B2" s="128"/>
      <c r="C2" s="128"/>
      <c r="D2" s="129"/>
      <c r="E2" s="130"/>
    </row>
    <row r="3" spans="1:5" ht="15.75">
      <c r="A3" s="6" t="str">
        <f>+BSAssets!A3</f>
        <v>Financing and Step Increases</v>
      </c>
      <c r="B3" s="60"/>
      <c r="C3" s="60"/>
      <c r="D3" s="61"/>
      <c r="E3" s="62"/>
    </row>
    <row r="4" spans="1:5" ht="15.75">
      <c r="A4" s="6"/>
      <c r="B4" s="60"/>
      <c r="C4" s="60"/>
      <c r="D4" s="61"/>
      <c r="E4" s="62"/>
    </row>
    <row r="5" spans="1:5" ht="15.75">
      <c r="A5" s="6" t="str">
        <f>+BSAssets!A5</f>
        <v>Balance Sheet</v>
      </c>
      <c r="B5" s="60"/>
      <c r="C5" s="60"/>
      <c r="D5" s="61"/>
      <c r="E5" s="62"/>
    </row>
    <row r="6" spans="1:5" ht="15.75">
      <c r="A6" s="6" t="s">
        <v>201</v>
      </c>
      <c r="B6" s="60"/>
      <c r="C6" s="60"/>
      <c r="D6" s="61"/>
      <c r="E6" s="62"/>
    </row>
    <row r="7" spans="1:5" ht="13.5" thickBot="1">
      <c r="A7" s="1"/>
      <c r="B7" s="1"/>
      <c r="D7" s="63"/>
      <c r="E7" s="63"/>
    </row>
    <row r="8" spans="1:5" ht="15.75">
      <c r="A8" s="203" t="s">
        <v>86</v>
      </c>
      <c r="B8" s="65"/>
      <c r="C8" s="66" t="s">
        <v>347</v>
      </c>
      <c r="D8" s="66"/>
      <c r="E8" s="67" t="s">
        <v>346</v>
      </c>
    </row>
    <row r="9" spans="1:5" ht="15.75">
      <c r="A9" s="25" t="s">
        <v>4</v>
      </c>
      <c r="B9" s="22" t="s">
        <v>2</v>
      </c>
      <c r="C9" s="23" t="s">
        <v>87</v>
      </c>
      <c r="D9" s="23" t="s">
        <v>194</v>
      </c>
      <c r="E9" s="27" t="s">
        <v>196</v>
      </c>
    </row>
    <row r="10" spans="1:5" ht="15.75">
      <c r="A10" s="69" t="s">
        <v>5</v>
      </c>
      <c r="B10" s="69" t="s">
        <v>402</v>
      </c>
      <c r="C10" s="70" t="s">
        <v>6</v>
      </c>
      <c r="D10" s="70" t="s">
        <v>7</v>
      </c>
      <c r="E10" s="71" t="s">
        <v>8</v>
      </c>
    </row>
    <row r="11" spans="1:5" ht="15.75">
      <c r="A11" s="72"/>
      <c r="B11" s="22" t="s">
        <v>88</v>
      </c>
      <c r="C11" s="73"/>
      <c r="D11" s="74"/>
      <c r="E11" s="75"/>
    </row>
    <row r="12" spans="1:5" ht="15">
      <c r="A12" s="21">
        <v>1</v>
      </c>
      <c r="B12" s="73" t="s">
        <v>89</v>
      </c>
      <c r="C12" s="76">
        <v>10000</v>
      </c>
      <c r="D12" s="76"/>
      <c r="E12" s="77">
        <f>SUM(C12-D12)</f>
        <v>10000</v>
      </c>
    </row>
    <row r="13" spans="1:5" ht="15">
      <c r="A13" s="21">
        <v>2</v>
      </c>
      <c r="B13" s="73" t="s">
        <v>90</v>
      </c>
      <c r="C13" s="78"/>
      <c r="D13" s="76"/>
      <c r="E13" s="79"/>
    </row>
    <row r="14" spans="1:5" ht="15">
      <c r="A14" s="21">
        <v>3</v>
      </c>
      <c r="B14" s="73" t="s">
        <v>91</v>
      </c>
      <c r="C14" s="78"/>
      <c r="D14" s="78"/>
      <c r="E14" s="79"/>
    </row>
    <row r="15" spans="1:5" ht="15">
      <c r="A15" s="21">
        <v>4</v>
      </c>
      <c r="B15" s="73" t="s">
        <v>92</v>
      </c>
      <c r="C15" s="78"/>
      <c r="D15" s="78"/>
      <c r="E15" s="79"/>
    </row>
    <row r="16" spans="1:5" ht="15">
      <c r="A16" s="21">
        <v>5</v>
      </c>
      <c r="B16" s="73" t="s">
        <v>93</v>
      </c>
      <c r="C16" s="78">
        <v>217650</v>
      </c>
      <c r="D16" s="78"/>
      <c r="E16" s="80">
        <f>SUM(C16+D16)</f>
        <v>217650</v>
      </c>
    </row>
    <row r="17" spans="1:5" ht="15">
      <c r="A17" s="21">
        <v>6</v>
      </c>
      <c r="B17" s="73" t="s">
        <v>94</v>
      </c>
      <c r="C17" s="78"/>
      <c r="D17" s="78"/>
      <c r="E17" s="79"/>
    </row>
    <row r="18" spans="1:5" ht="15">
      <c r="A18" s="21">
        <v>7</v>
      </c>
      <c r="B18" s="73" t="s">
        <v>95</v>
      </c>
      <c r="C18" s="78"/>
      <c r="D18" s="78">
        <v>150000</v>
      </c>
      <c r="E18" s="80">
        <f>SUM(C18+D18)</f>
        <v>150000</v>
      </c>
    </row>
    <row r="19" spans="1:5" ht="15">
      <c r="A19" s="21">
        <v>8</v>
      </c>
      <c r="B19" s="73" t="s">
        <v>96</v>
      </c>
      <c r="C19" s="78"/>
      <c r="D19" s="82"/>
      <c r="E19" s="83"/>
    </row>
    <row r="20" spans="1:5" ht="15">
      <c r="A20" s="21">
        <v>9</v>
      </c>
      <c r="B20" s="73" t="s">
        <v>97</v>
      </c>
      <c r="C20" s="78"/>
      <c r="D20" s="78"/>
      <c r="E20" s="83"/>
    </row>
    <row r="21" spans="1:5" ht="15">
      <c r="A21" s="21">
        <v>10</v>
      </c>
      <c r="B21" s="73" t="s">
        <v>98</v>
      </c>
      <c r="C21" s="78">
        <v>303569</v>
      </c>
      <c r="D21" s="78">
        <f>+IncStat!D61</f>
        <v>95641.54365833334</v>
      </c>
      <c r="E21" s="81">
        <f>SUM(C21+D21)</f>
        <v>399210.54365833336</v>
      </c>
    </row>
    <row r="22" spans="1:5" ht="15">
      <c r="A22" s="21">
        <v>11</v>
      </c>
      <c r="B22" s="73" t="s">
        <v>99</v>
      </c>
      <c r="C22" s="78"/>
      <c r="D22" s="78"/>
      <c r="E22" s="79"/>
    </row>
    <row r="23" spans="1:5" ht="15">
      <c r="A23" s="21">
        <v>12</v>
      </c>
      <c r="B23" s="73" t="s">
        <v>100</v>
      </c>
      <c r="C23" s="84">
        <f>SUM(C12:C22)</f>
        <v>531219</v>
      </c>
      <c r="D23" s="84">
        <f>SUM(D12:D22)</f>
        <v>245641.54365833334</v>
      </c>
      <c r="E23" s="85">
        <f>SUM(C23+D23)</f>
        <v>776860.5436583334</v>
      </c>
    </row>
    <row r="24" spans="1:5" ht="15.75">
      <c r="A24" s="21"/>
      <c r="B24" s="8" t="s">
        <v>101</v>
      </c>
      <c r="C24" s="86"/>
      <c r="D24" s="86"/>
      <c r="E24" s="87"/>
    </row>
    <row r="25" spans="1:5" ht="15">
      <c r="A25" s="21">
        <v>13</v>
      </c>
      <c r="B25" s="73" t="s">
        <v>102</v>
      </c>
      <c r="C25" s="78">
        <v>885099</v>
      </c>
      <c r="D25" s="78"/>
      <c r="E25" s="81">
        <f>SUM(C25-D25)</f>
        <v>885099</v>
      </c>
    </row>
    <row r="26" spans="1:5" ht="15">
      <c r="A26" s="21">
        <v>14</v>
      </c>
      <c r="B26" s="73" t="s">
        <v>103</v>
      </c>
      <c r="C26" s="78"/>
      <c r="D26" s="78"/>
      <c r="E26" s="79"/>
    </row>
    <row r="27" spans="1:5" ht="15">
      <c r="A27" s="21">
        <v>15</v>
      </c>
      <c r="B27" s="73" t="s">
        <v>104</v>
      </c>
      <c r="C27" s="78"/>
      <c r="D27" s="78"/>
      <c r="E27" s="79"/>
    </row>
    <row r="28" spans="1:5" ht="15">
      <c r="A28" s="21">
        <v>16</v>
      </c>
      <c r="B28" s="73" t="s">
        <v>105</v>
      </c>
      <c r="C28" s="78">
        <v>442100</v>
      </c>
      <c r="D28" s="78">
        <f>+JEs!H13+JEs!H18-JEs!G59</f>
        <v>269384</v>
      </c>
      <c r="E28" s="81">
        <f>SUM(C28+D28)</f>
        <v>711484</v>
      </c>
    </row>
    <row r="29" spans="1:5" ht="15">
      <c r="A29" s="21">
        <v>17</v>
      </c>
      <c r="B29" s="73" t="s">
        <v>106</v>
      </c>
      <c r="C29" s="84">
        <f>SUM(C25:C28)</f>
        <v>1327199</v>
      </c>
      <c r="D29" s="84">
        <f>SUM(D25:D28)</f>
        <v>269384</v>
      </c>
      <c r="E29" s="85">
        <f>SUM(C29+D29)</f>
        <v>1596583</v>
      </c>
    </row>
    <row r="30" spans="1:5" ht="15.75">
      <c r="A30" s="21"/>
      <c r="B30" s="88" t="s">
        <v>107</v>
      </c>
      <c r="C30" s="86"/>
      <c r="D30" s="86"/>
      <c r="E30" s="87"/>
    </row>
    <row r="31" spans="1:5" ht="15">
      <c r="A31" s="21">
        <v>18</v>
      </c>
      <c r="B31" s="73" t="s">
        <v>108</v>
      </c>
      <c r="C31" s="78">
        <v>249889</v>
      </c>
      <c r="D31" s="78">
        <f>-JEs!G17</f>
        <v>-169889</v>
      </c>
      <c r="E31" s="81">
        <f>SUM(C31+D31)</f>
        <v>80000</v>
      </c>
    </row>
    <row r="32" spans="1:5" ht="15">
      <c r="A32" s="21">
        <v>19</v>
      </c>
      <c r="B32" s="73" t="s">
        <v>109</v>
      </c>
      <c r="C32" s="78"/>
      <c r="D32" s="78"/>
      <c r="E32" s="81">
        <f>SUM(C32-D32)</f>
        <v>0</v>
      </c>
    </row>
    <row r="33" spans="1:5" ht="15">
      <c r="A33" s="21">
        <v>20</v>
      </c>
      <c r="B33" s="73" t="s">
        <v>110</v>
      </c>
      <c r="C33" s="78"/>
      <c r="D33" s="89"/>
      <c r="E33" s="90"/>
    </row>
    <row r="34" spans="1:5" ht="15">
      <c r="A34" s="21">
        <v>21</v>
      </c>
      <c r="B34" s="73" t="s">
        <v>111</v>
      </c>
      <c r="C34" s="78"/>
      <c r="D34" s="89"/>
      <c r="E34" s="90"/>
    </row>
    <row r="35" spans="1:5" ht="15">
      <c r="A35" s="21">
        <v>22</v>
      </c>
      <c r="B35" s="73" t="s">
        <v>112</v>
      </c>
      <c r="C35" s="78">
        <v>85</v>
      </c>
      <c r="D35" s="78"/>
      <c r="E35" s="81">
        <f>SUM(C35-D35)</f>
        <v>85</v>
      </c>
    </row>
    <row r="36" spans="1:5" ht="15">
      <c r="A36" s="21">
        <v>23</v>
      </c>
      <c r="B36" s="73" t="s">
        <v>113</v>
      </c>
      <c r="C36" s="78">
        <v>-1576</v>
      </c>
      <c r="D36" s="78"/>
      <c r="E36" s="81">
        <f>SUM(C36-D36)</f>
        <v>-1576</v>
      </c>
    </row>
    <row r="37" spans="1:5" ht="15">
      <c r="A37" s="21">
        <v>24</v>
      </c>
      <c r="B37" s="73" t="s">
        <v>114</v>
      </c>
      <c r="C37" s="78">
        <v>25860</v>
      </c>
      <c r="D37" s="78"/>
      <c r="E37" s="81">
        <f>SUM(C37-D37)</f>
        <v>25860</v>
      </c>
    </row>
    <row r="38" spans="1:5" ht="15">
      <c r="A38" s="21">
        <v>25</v>
      </c>
      <c r="B38" s="73" t="s">
        <v>115</v>
      </c>
      <c r="C38" s="78"/>
      <c r="D38" s="89"/>
      <c r="E38" s="90"/>
    </row>
    <row r="39" spans="1:5" ht="15">
      <c r="A39" s="21">
        <v>26</v>
      </c>
      <c r="B39" s="73" t="s">
        <v>116</v>
      </c>
      <c r="C39" s="78"/>
      <c r="D39" s="89"/>
      <c r="E39" s="90"/>
    </row>
    <row r="40" spans="1:5" ht="15">
      <c r="A40" s="21">
        <v>27</v>
      </c>
      <c r="B40" s="73" t="s">
        <v>117</v>
      </c>
      <c r="C40" s="78"/>
      <c r="D40" s="89"/>
      <c r="E40" s="90"/>
    </row>
    <row r="41" spans="1:5" ht="15">
      <c r="A41" s="21">
        <v>28</v>
      </c>
      <c r="B41" s="73" t="s">
        <v>118</v>
      </c>
      <c r="C41" s="78"/>
      <c r="D41" s="78"/>
      <c r="E41" s="81">
        <f>SUM(C41-D41)</f>
        <v>0</v>
      </c>
    </row>
    <row r="42" spans="1:5" ht="15">
      <c r="A42" s="21">
        <v>29</v>
      </c>
      <c r="B42" s="73" t="s">
        <v>119</v>
      </c>
      <c r="C42" s="84">
        <f>SUM(C31:C41)</f>
        <v>274258</v>
      </c>
      <c r="D42" s="84">
        <f>SUM(D31:D41)</f>
        <v>-169889</v>
      </c>
      <c r="E42" s="85">
        <f>SUM(C42+D42)</f>
        <v>104369</v>
      </c>
    </row>
    <row r="43" spans="1:5" ht="15.75">
      <c r="A43" s="21"/>
      <c r="B43" s="26" t="s">
        <v>120</v>
      </c>
      <c r="C43" s="86"/>
      <c r="D43" s="91"/>
      <c r="E43" s="92"/>
    </row>
    <row r="44" spans="1:5" ht="15">
      <c r="A44" s="21">
        <v>30</v>
      </c>
      <c r="B44" s="73" t="s">
        <v>121</v>
      </c>
      <c r="C44" s="78"/>
      <c r="D44" s="89"/>
      <c r="E44" s="93"/>
    </row>
    <row r="45" spans="1:5" ht="15">
      <c r="A45" s="21">
        <v>31</v>
      </c>
      <c r="B45" s="73" t="s">
        <v>122</v>
      </c>
      <c r="C45" s="78"/>
      <c r="D45" s="89"/>
      <c r="E45" s="93"/>
    </row>
    <row r="46" spans="1:5" ht="15">
      <c r="A46" s="21">
        <v>32</v>
      </c>
      <c r="B46" s="73" t="s">
        <v>123</v>
      </c>
      <c r="C46" s="78"/>
      <c r="D46" s="89"/>
      <c r="E46" s="93"/>
    </row>
    <row r="47" spans="1:5" ht="15">
      <c r="A47" s="21">
        <v>33</v>
      </c>
      <c r="B47" s="73" t="s">
        <v>124</v>
      </c>
      <c r="C47" s="78"/>
      <c r="D47" s="89"/>
      <c r="E47" s="93"/>
    </row>
    <row r="48" spans="1:5" ht="15">
      <c r="A48" s="21"/>
      <c r="B48" s="73" t="s">
        <v>125</v>
      </c>
      <c r="C48" s="78"/>
      <c r="D48" s="89"/>
      <c r="E48" s="93"/>
    </row>
    <row r="49" spans="1:5" ht="15.75">
      <c r="A49" s="21">
        <v>34</v>
      </c>
      <c r="B49" s="88" t="s">
        <v>126</v>
      </c>
      <c r="C49" s="78"/>
      <c r="D49" s="89"/>
      <c r="E49" s="93"/>
    </row>
    <row r="50" spans="1:5" ht="15">
      <c r="A50" s="21">
        <v>35</v>
      </c>
      <c r="B50" s="73" t="s">
        <v>127</v>
      </c>
      <c r="C50" s="78"/>
      <c r="D50" s="89"/>
      <c r="E50" s="93"/>
    </row>
    <row r="51" spans="1:5" ht="15">
      <c r="A51" s="21">
        <v>36</v>
      </c>
      <c r="B51" s="73" t="s">
        <v>128</v>
      </c>
      <c r="C51" s="78">
        <v>105511</v>
      </c>
      <c r="D51" s="78"/>
      <c r="E51" s="81">
        <f>SUM(C51-D51)</f>
        <v>105511</v>
      </c>
    </row>
    <row r="52" spans="1:5" ht="15">
      <c r="A52" s="21">
        <v>37</v>
      </c>
      <c r="B52" s="73" t="s">
        <v>129</v>
      </c>
      <c r="C52" s="78"/>
      <c r="D52" s="89"/>
      <c r="E52" s="93"/>
    </row>
    <row r="53" spans="1:5" ht="15">
      <c r="A53" s="21">
        <v>38</v>
      </c>
      <c r="B53" s="73" t="s">
        <v>130</v>
      </c>
      <c r="C53" s="84">
        <f>SUM(C44:C52)</f>
        <v>105511</v>
      </c>
      <c r="D53" s="94">
        <f>SUM(D44:D52)</f>
        <v>0</v>
      </c>
      <c r="E53" s="85">
        <f>SUM(C53-D53)</f>
        <v>105511</v>
      </c>
    </row>
    <row r="54" spans="1:5" ht="15.75">
      <c r="A54" s="21"/>
      <c r="B54" s="54" t="s">
        <v>131</v>
      </c>
      <c r="C54" s="47"/>
      <c r="D54" s="95"/>
      <c r="E54" s="48"/>
    </row>
    <row r="55" spans="1:5" ht="15">
      <c r="A55" s="21">
        <v>39</v>
      </c>
      <c r="B55" s="96" t="s">
        <v>132</v>
      </c>
      <c r="C55" s="78"/>
      <c r="D55" s="89"/>
      <c r="E55" s="93"/>
    </row>
    <row r="56" spans="1:5" ht="15">
      <c r="A56" s="21">
        <v>40</v>
      </c>
      <c r="B56" s="96" t="s">
        <v>133</v>
      </c>
      <c r="C56" s="78"/>
      <c r="D56" s="89"/>
      <c r="E56" s="93"/>
    </row>
    <row r="57" spans="1:5" ht="15">
      <c r="A57" s="21">
        <v>41</v>
      </c>
      <c r="B57" s="96" t="s">
        <v>134</v>
      </c>
      <c r="C57" s="78"/>
      <c r="D57" s="89"/>
      <c r="E57" s="93"/>
    </row>
    <row r="58" spans="1:5" ht="15">
      <c r="A58" s="21">
        <v>42</v>
      </c>
      <c r="B58" s="96" t="s">
        <v>135</v>
      </c>
      <c r="C58" s="78"/>
      <c r="D58" s="89"/>
      <c r="E58" s="93"/>
    </row>
    <row r="59" spans="1:5" ht="15">
      <c r="A59" s="21">
        <v>43</v>
      </c>
      <c r="B59" s="96" t="s">
        <v>136</v>
      </c>
      <c r="C59" s="84"/>
      <c r="D59" s="94"/>
      <c r="E59" s="97"/>
    </row>
    <row r="60" spans="1:5" ht="15.75">
      <c r="A60" s="21"/>
      <c r="B60" s="54" t="s">
        <v>137</v>
      </c>
      <c r="C60" s="86"/>
      <c r="D60" s="98"/>
      <c r="E60" s="99"/>
    </row>
    <row r="61" spans="1:5" ht="15">
      <c r="A61" s="21">
        <v>44</v>
      </c>
      <c r="B61" s="96" t="s">
        <v>138</v>
      </c>
      <c r="C61" s="78">
        <v>779285</v>
      </c>
      <c r="D61" s="78">
        <f>-JEs!G24+JEs!H30</f>
        <v>60840</v>
      </c>
      <c r="E61" s="122">
        <f>SUM(C61+D61)</f>
        <v>840125</v>
      </c>
    </row>
    <row r="62" spans="1:5" ht="15">
      <c r="A62" s="21">
        <v>45</v>
      </c>
      <c r="B62" s="96" t="s">
        <v>139</v>
      </c>
      <c r="C62" s="100">
        <v>-174344</v>
      </c>
      <c r="D62" s="100">
        <f>+JEs!H25-JEs!G40</f>
        <v>34730.8375</v>
      </c>
      <c r="E62" s="81">
        <f>SUM(C62+D62)</f>
        <v>-139613.1625</v>
      </c>
    </row>
    <row r="63" spans="1:5" ht="15">
      <c r="A63" s="21">
        <v>46</v>
      </c>
      <c r="B63" s="96" t="s">
        <v>140</v>
      </c>
      <c r="C63" s="101">
        <f>C61+C62</f>
        <v>604941</v>
      </c>
      <c r="D63" s="101">
        <f>D61+D62</f>
        <v>95570.8375</v>
      </c>
      <c r="E63" s="102">
        <f>E61+E62</f>
        <v>700511.8375</v>
      </c>
    </row>
    <row r="64" spans="1:5" ht="16.5" thickBot="1">
      <c r="A64" s="103">
        <v>46</v>
      </c>
      <c r="B64" s="104" t="s">
        <v>141</v>
      </c>
      <c r="C64" s="105">
        <f>C23+C29+C42+C53+C59+C63</f>
        <v>2843128</v>
      </c>
      <c r="D64" s="105">
        <f>D23+D29+D42+D53+D59+D63</f>
        <v>440707.3811583334</v>
      </c>
      <c r="E64" s="106">
        <f>E23+E29+E42+E53+E59+E63</f>
        <v>3283835.3811583333</v>
      </c>
    </row>
    <row r="68" ht="12.75">
      <c r="A68" t="s">
        <v>238</v>
      </c>
    </row>
    <row r="69" ht="12.75">
      <c r="A69" s="136">
        <f>+BSAssets!A62</f>
        <v>39582</v>
      </c>
    </row>
  </sheetData>
  <printOptions/>
  <pageMargins left="0.75" right="0.75" top="1" bottom="1" header="0.5" footer="0.5"/>
  <pageSetup fitToHeight="1" fitToWidth="1" horizontalDpi="600" verticalDpi="600" orientation="portrait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60.7109375" style="0" customWidth="1"/>
    <col min="3" max="5" width="20.7109375" style="0" customWidth="1"/>
  </cols>
  <sheetData>
    <row r="1" spans="1:5" ht="20.25">
      <c r="A1" s="123" t="s">
        <v>197</v>
      </c>
      <c r="B1" s="59"/>
      <c r="C1" s="59"/>
      <c r="D1" s="4"/>
      <c r="E1" s="5" t="s">
        <v>321</v>
      </c>
    </row>
    <row r="2" spans="1:5" ht="12.75">
      <c r="A2" s="13"/>
      <c r="B2" s="13"/>
      <c r="C2" s="13"/>
      <c r="D2" s="13"/>
      <c r="E2" s="107"/>
    </row>
    <row r="3" spans="1:5" ht="15.75">
      <c r="A3" s="131" t="str">
        <f>+BSAssets!A3</f>
        <v>Financing and Step Increases</v>
      </c>
      <c r="B3" s="13"/>
      <c r="C3" s="13"/>
      <c r="D3" s="13"/>
      <c r="E3" s="107"/>
    </row>
    <row r="4" spans="1:5" ht="12.75">
      <c r="A4" s="13"/>
      <c r="B4" s="13"/>
      <c r="C4" s="13"/>
      <c r="D4" s="13"/>
      <c r="E4" s="107"/>
    </row>
    <row r="5" spans="1:5" ht="15.75">
      <c r="A5" s="125" t="s">
        <v>202</v>
      </c>
      <c r="B5" s="13"/>
      <c r="C5" s="13"/>
      <c r="D5" s="13"/>
      <c r="E5" s="107"/>
    </row>
    <row r="6" spans="1:5" ht="13.5" thickBot="1">
      <c r="A6" s="1"/>
      <c r="B6" s="1"/>
      <c r="D6" s="63"/>
      <c r="E6" s="63"/>
    </row>
    <row r="7" spans="1:5" ht="15.75">
      <c r="A7" s="203" t="s">
        <v>86</v>
      </c>
      <c r="B7" s="65"/>
      <c r="C7" s="66" t="s">
        <v>347</v>
      </c>
      <c r="D7" s="66"/>
      <c r="E7" s="67" t="s">
        <v>346</v>
      </c>
    </row>
    <row r="8" spans="1:5" ht="15.75">
      <c r="A8" s="25" t="s">
        <v>4</v>
      </c>
      <c r="B8" s="22" t="s">
        <v>2</v>
      </c>
      <c r="C8" s="23" t="s">
        <v>87</v>
      </c>
      <c r="D8" s="23" t="s">
        <v>194</v>
      </c>
      <c r="E8" s="27" t="s">
        <v>196</v>
      </c>
    </row>
    <row r="9" spans="1:5" ht="15.75">
      <c r="A9" s="69" t="s">
        <v>5</v>
      </c>
      <c r="B9" s="69" t="s">
        <v>402</v>
      </c>
      <c r="C9" s="70" t="s">
        <v>6</v>
      </c>
      <c r="D9" s="70" t="s">
        <v>7</v>
      </c>
      <c r="E9" s="71" t="s">
        <v>8</v>
      </c>
    </row>
    <row r="10" spans="1:5" ht="15.75">
      <c r="A10" s="72"/>
      <c r="B10" s="22" t="s">
        <v>142</v>
      </c>
      <c r="C10" s="73"/>
      <c r="D10" s="82"/>
      <c r="E10" s="109"/>
    </row>
    <row r="11" spans="1:5" ht="15">
      <c r="A11" s="21">
        <v>1</v>
      </c>
      <c r="B11" s="73" t="s">
        <v>143</v>
      </c>
      <c r="C11" s="110">
        <v>789830</v>
      </c>
      <c r="D11" s="110">
        <f>+JEs!H69+JEs!H70</f>
        <v>187072.97646896666</v>
      </c>
      <c r="E11" s="111">
        <f>SUM(C11+D11)</f>
        <v>976902.9764689667</v>
      </c>
    </row>
    <row r="12" spans="1:5" ht="15">
      <c r="A12" s="21">
        <v>2</v>
      </c>
      <c r="B12" s="73" t="s">
        <v>144</v>
      </c>
      <c r="C12" s="78"/>
      <c r="D12" s="78"/>
      <c r="E12" s="79"/>
    </row>
    <row r="13" spans="1:5" ht="15">
      <c r="A13" s="21">
        <v>3</v>
      </c>
      <c r="B13" s="73" t="s">
        <v>145</v>
      </c>
      <c r="C13" s="78">
        <v>593254</v>
      </c>
      <c r="D13" s="78">
        <f>+JEs!G44+JEs!G48</f>
        <v>10000</v>
      </c>
      <c r="E13" s="79">
        <f>SUM(C13+D13)</f>
        <v>603254</v>
      </c>
    </row>
    <row r="14" spans="1:5" ht="15">
      <c r="A14" s="21">
        <v>4</v>
      </c>
      <c r="B14" s="73" t="s">
        <v>146</v>
      </c>
      <c r="C14" s="78">
        <v>114791</v>
      </c>
      <c r="D14" s="78">
        <f>+JEs!G36</f>
        <v>25859.025833333333</v>
      </c>
      <c r="E14" s="79">
        <f>SUM(C14+D14)</f>
        <v>140650.02583333332</v>
      </c>
    </row>
    <row r="15" spans="1:5" ht="15">
      <c r="A15" s="21">
        <v>5</v>
      </c>
      <c r="B15" s="73" t="s">
        <v>147</v>
      </c>
      <c r="C15" s="78"/>
      <c r="D15" s="78"/>
      <c r="E15" s="79"/>
    </row>
    <row r="16" spans="1:5" ht="15">
      <c r="A16" s="21"/>
      <c r="B16" s="73" t="s">
        <v>148</v>
      </c>
      <c r="C16" s="78">
        <v>-11418</v>
      </c>
      <c r="D16" s="78">
        <f>-JEs!H41</f>
        <v>-4429.1625</v>
      </c>
      <c r="E16" s="79">
        <f>SUM(C16+D16)</f>
        <v>-15847.1625</v>
      </c>
    </row>
    <row r="17" spans="1:5" ht="15">
      <c r="A17" s="21">
        <v>6</v>
      </c>
      <c r="B17" s="73" t="s">
        <v>149</v>
      </c>
      <c r="C17" s="78"/>
      <c r="D17" s="78"/>
      <c r="E17" s="79"/>
    </row>
    <row r="18" spans="1:5" ht="15">
      <c r="A18" s="21"/>
      <c r="B18" s="73" t="s">
        <v>150</v>
      </c>
      <c r="C18" s="78">
        <v>-6100</v>
      </c>
      <c r="D18" s="78"/>
      <c r="E18" s="79">
        <f>SUM(C18-D18)</f>
        <v>-6100</v>
      </c>
    </row>
    <row r="19" spans="1:5" ht="15">
      <c r="A19" s="21">
        <v>7</v>
      </c>
      <c r="B19" s="73" t="s">
        <v>151</v>
      </c>
      <c r="C19" s="78"/>
      <c r="D19" s="78"/>
      <c r="E19" s="79"/>
    </row>
    <row r="20" spans="1:5" ht="15">
      <c r="A20" s="21">
        <v>8</v>
      </c>
      <c r="B20" s="73" t="s">
        <v>152</v>
      </c>
      <c r="C20" s="78">
        <v>27721</v>
      </c>
      <c r="D20" s="78">
        <f>+JEs!G52+JEs!G53</f>
        <v>17108.7364773</v>
      </c>
      <c r="E20" s="79">
        <f>SUM(C20+D20)</f>
        <v>44829.7364773</v>
      </c>
    </row>
    <row r="21" spans="1:5" ht="15">
      <c r="A21" s="21">
        <v>9</v>
      </c>
      <c r="B21" s="73" t="s">
        <v>153</v>
      </c>
      <c r="C21" s="78">
        <v>2030</v>
      </c>
      <c r="D21" s="78">
        <f>+JEs!G54+JEs!G55</f>
        <v>27111.833</v>
      </c>
      <c r="E21" s="79">
        <f>SUM(C21+D21)</f>
        <v>29141.833</v>
      </c>
    </row>
    <row r="22" spans="1:5" ht="15.75">
      <c r="A22" s="21">
        <v>10</v>
      </c>
      <c r="B22" s="88" t="s">
        <v>154</v>
      </c>
      <c r="C22" s="84">
        <f>SUM(C13:C21)</f>
        <v>720278</v>
      </c>
      <c r="D22" s="84">
        <f>SUM(D13:D21)</f>
        <v>75650.43281063333</v>
      </c>
      <c r="E22" s="112">
        <f>SUM(C22+D22)</f>
        <v>795928.4328106333</v>
      </c>
    </row>
    <row r="23" spans="1:5" ht="15">
      <c r="A23" s="21">
        <v>11</v>
      </c>
      <c r="B23" s="73" t="s">
        <v>155</v>
      </c>
      <c r="C23" s="78">
        <f>C11-C22</f>
        <v>69552</v>
      </c>
      <c r="D23" s="78">
        <f>D11-D22</f>
        <v>111422.54365833334</v>
      </c>
      <c r="E23" s="79">
        <f>SUM(C23+D23)</f>
        <v>180974.54365833334</v>
      </c>
    </row>
    <row r="24" spans="1:5" ht="15">
      <c r="A24" s="21">
        <v>12</v>
      </c>
      <c r="B24" s="73" t="s">
        <v>156</v>
      </c>
      <c r="C24" s="78"/>
      <c r="D24" s="78"/>
      <c r="E24" s="79"/>
    </row>
    <row r="25" spans="1:5" ht="15">
      <c r="A25" s="21"/>
      <c r="B25" s="73" t="s">
        <v>157</v>
      </c>
      <c r="C25" s="78"/>
      <c r="D25" s="78"/>
      <c r="E25" s="79"/>
    </row>
    <row r="26" spans="1:5" ht="15">
      <c r="A26" s="21">
        <v>13</v>
      </c>
      <c r="B26" s="73" t="s">
        <v>158</v>
      </c>
      <c r="C26" s="78">
        <v>7437</v>
      </c>
      <c r="D26" s="78"/>
      <c r="E26" s="79">
        <f>SUM(C26-D26)</f>
        <v>7437</v>
      </c>
    </row>
    <row r="27" spans="1:5" ht="15">
      <c r="A27" s="21"/>
      <c r="B27" s="73" t="s">
        <v>159</v>
      </c>
      <c r="C27" s="78"/>
      <c r="D27" s="78"/>
      <c r="E27" s="79"/>
    </row>
    <row r="28" spans="1:5" ht="15.75">
      <c r="A28" s="21">
        <v>14</v>
      </c>
      <c r="B28" s="88" t="s">
        <v>160</v>
      </c>
      <c r="C28" s="84">
        <f>SUM(C23:C27)</f>
        <v>76989</v>
      </c>
      <c r="D28" s="84">
        <f>SUM(D23:D27)</f>
        <v>111422.54365833334</v>
      </c>
      <c r="E28" s="112">
        <f>SUM(C28+D28)</f>
        <v>188411.54365833334</v>
      </c>
    </row>
    <row r="29" spans="1:5" ht="15.75">
      <c r="A29" s="21"/>
      <c r="B29" s="26" t="s">
        <v>161</v>
      </c>
      <c r="C29" s="47"/>
      <c r="D29" s="47"/>
      <c r="E29" s="48"/>
    </row>
    <row r="30" spans="1:5" ht="15">
      <c r="A30" s="21">
        <v>15</v>
      </c>
      <c r="B30" s="73" t="s">
        <v>162</v>
      </c>
      <c r="C30" s="113"/>
      <c r="D30" s="113"/>
      <c r="E30" s="93"/>
    </row>
    <row r="31" spans="1:5" ht="15">
      <c r="A31" s="21"/>
      <c r="B31" s="73" t="s">
        <v>163</v>
      </c>
      <c r="C31" s="78"/>
      <c r="D31" s="78"/>
      <c r="E31" s="93">
        <f>SUM(C31-D31)</f>
        <v>0</v>
      </c>
    </row>
    <row r="32" spans="1:5" ht="15">
      <c r="A32" s="21">
        <v>16</v>
      </c>
      <c r="B32" s="73" t="s">
        <v>164</v>
      </c>
      <c r="C32" s="78"/>
      <c r="D32" s="78"/>
      <c r="E32" s="93"/>
    </row>
    <row r="33" spans="1:5" ht="15">
      <c r="A33" s="21"/>
      <c r="B33" s="73" t="s">
        <v>165</v>
      </c>
      <c r="C33" s="78"/>
      <c r="D33" s="78"/>
      <c r="E33" s="93"/>
    </row>
    <row r="34" spans="1:5" ht="15">
      <c r="A34" s="21">
        <v>17</v>
      </c>
      <c r="B34" s="73" t="s">
        <v>166</v>
      </c>
      <c r="C34" s="78"/>
      <c r="D34" s="78"/>
      <c r="E34" s="93"/>
    </row>
    <row r="35" spans="1:5" ht="15">
      <c r="A35" s="21"/>
      <c r="B35" s="73" t="s">
        <v>167</v>
      </c>
      <c r="C35" s="78"/>
      <c r="D35" s="78"/>
      <c r="E35" s="93"/>
    </row>
    <row r="36" spans="1:5" ht="15">
      <c r="A36" s="21">
        <v>18</v>
      </c>
      <c r="B36" s="73" t="s">
        <v>168</v>
      </c>
      <c r="C36" s="78">
        <v>3158</v>
      </c>
      <c r="D36" s="78"/>
      <c r="E36" s="93">
        <f>SUM(C36-D36)</f>
        <v>3158</v>
      </c>
    </row>
    <row r="37" spans="1:5" ht="15">
      <c r="A37" s="21">
        <v>19</v>
      </c>
      <c r="B37" s="73" t="s">
        <v>169</v>
      </c>
      <c r="C37" s="78"/>
      <c r="D37" s="78"/>
      <c r="E37" s="93"/>
    </row>
    <row r="38" spans="1:5" ht="15">
      <c r="A38" s="21"/>
      <c r="B38" s="73" t="s">
        <v>170</v>
      </c>
      <c r="C38" s="78"/>
      <c r="D38" s="78"/>
      <c r="E38" s="93"/>
    </row>
    <row r="39" spans="1:5" ht="15">
      <c r="A39" s="21">
        <v>20</v>
      </c>
      <c r="B39" s="73" t="s">
        <v>171</v>
      </c>
      <c r="C39" s="78"/>
      <c r="D39" s="78"/>
      <c r="E39" s="79">
        <f>SUM(C39-D39)</f>
        <v>0</v>
      </c>
    </row>
    <row r="40" spans="1:5" ht="15">
      <c r="A40" s="21">
        <v>21</v>
      </c>
      <c r="B40" s="73" t="s">
        <v>172</v>
      </c>
      <c r="C40" s="78"/>
      <c r="D40" s="78"/>
      <c r="E40" s="93"/>
    </row>
    <row r="41" spans="1:5" ht="15">
      <c r="A41" s="21"/>
      <c r="B41" s="73" t="s">
        <v>173</v>
      </c>
      <c r="C41" s="78"/>
      <c r="D41" s="78"/>
      <c r="E41" s="93"/>
    </row>
    <row r="42" spans="1:5" ht="15">
      <c r="A42" s="21">
        <v>22</v>
      </c>
      <c r="B42" s="73" t="s">
        <v>174</v>
      </c>
      <c r="C42" s="78">
        <v>-55</v>
      </c>
      <c r="D42" s="78"/>
      <c r="E42" s="93">
        <f>SUM(C42-D42)</f>
        <v>-55</v>
      </c>
    </row>
    <row r="43" spans="1:5" ht="15.75">
      <c r="A43" s="21">
        <v>23</v>
      </c>
      <c r="B43" s="88" t="s">
        <v>175</v>
      </c>
      <c r="C43" s="84">
        <f>SUM(C31:C42)</f>
        <v>3103</v>
      </c>
      <c r="D43" s="84">
        <f>SUM(D31:D42)</f>
        <v>0</v>
      </c>
      <c r="E43" s="97">
        <f>SUM(C43-D43)</f>
        <v>3103</v>
      </c>
    </row>
    <row r="44" spans="1:5" ht="15.75">
      <c r="A44" s="21"/>
      <c r="B44" s="114" t="s">
        <v>176</v>
      </c>
      <c r="C44" s="47"/>
      <c r="D44" s="47"/>
      <c r="E44" s="99"/>
    </row>
    <row r="45" spans="1:5" ht="15">
      <c r="A45" s="21">
        <v>24</v>
      </c>
      <c r="B45" s="73" t="s">
        <v>177</v>
      </c>
      <c r="C45" s="78"/>
      <c r="D45" s="78"/>
      <c r="E45" s="93"/>
    </row>
    <row r="46" spans="1:5" ht="15">
      <c r="A46" s="21">
        <v>25</v>
      </c>
      <c r="B46" s="73" t="s">
        <v>178</v>
      </c>
      <c r="C46" s="78"/>
      <c r="D46" s="78"/>
      <c r="E46" s="93"/>
    </row>
    <row r="47" spans="1:5" ht="15">
      <c r="A47" s="21"/>
      <c r="B47" s="73" t="s">
        <v>179</v>
      </c>
      <c r="C47" s="78"/>
      <c r="D47" s="78"/>
      <c r="E47" s="93"/>
    </row>
    <row r="48" spans="1:5" ht="15.75">
      <c r="A48" s="21">
        <v>26</v>
      </c>
      <c r="B48" s="88" t="s">
        <v>180</v>
      </c>
      <c r="C48" s="84"/>
      <c r="D48" s="84"/>
      <c r="E48" s="97"/>
    </row>
    <row r="49" spans="1:5" ht="15.75">
      <c r="A49" s="21"/>
      <c r="B49" s="26" t="s">
        <v>181</v>
      </c>
      <c r="C49" s="47"/>
      <c r="D49" s="47"/>
      <c r="E49" s="48"/>
    </row>
    <row r="50" spans="1:5" ht="15">
      <c r="A50" s="21">
        <v>27</v>
      </c>
      <c r="B50" s="73" t="s">
        <v>182</v>
      </c>
      <c r="C50" s="78">
        <v>74807</v>
      </c>
      <c r="D50" s="78">
        <f>+JEs!G60</f>
        <v>15531</v>
      </c>
      <c r="E50" s="93">
        <f>SUM(C50+D50)</f>
        <v>90338</v>
      </c>
    </row>
    <row r="51" spans="1:5" ht="15">
      <c r="A51" s="21">
        <v>28</v>
      </c>
      <c r="B51" s="73" t="s">
        <v>183</v>
      </c>
      <c r="C51" s="78"/>
      <c r="D51" s="78"/>
      <c r="E51" s="93"/>
    </row>
    <row r="52" spans="1:5" ht="15">
      <c r="A52" s="21"/>
      <c r="B52" s="73" t="s">
        <v>184</v>
      </c>
      <c r="C52" s="78">
        <v>1788</v>
      </c>
      <c r="D52" s="78">
        <f>+JEs!G64</f>
        <v>250</v>
      </c>
      <c r="E52" s="93">
        <f>SUM(C52+D52)</f>
        <v>2038</v>
      </c>
    </row>
    <row r="53" spans="1:5" ht="15">
      <c r="A53" s="21">
        <v>29</v>
      </c>
      <c r="B53" s="96" t="s">
        <v>185</v>
      </c>
      <c r="C53" s="115"/>
      <c r="D53" s="115"/>
      <c r="E53" s="93"/>
    </row>
    <row r="54" spans="1:5" ht="15.75">
      <c r="A54" s="21">
        <v>30</v>
      </c>
      <c r="B54" s="116" t="s">
        <v>186</v>
      </c>
      <c r="C54" s="117">
        <f>SUM(C50:C53)</f>
        <v>76595</v>
      </c>
      <c r="D54" s="117">
        <f>SUM(D50:D53)</f>
        <v>15781</v>
      </c>
      <c r="E54" s="97">
        <f>SUM(C54+D54)</f>
        <v>92376</v>
      </c>
    </row>
    <row r="55" spans="1:5" ht="15.75">
      <c r="A55" s="21">
        <v>31</v>
      </c>
      <c r="B55" s="116" t="s">
        <v>187</v>
      </c>
      <c r="C55" s="115">
        <f>C28+C43+C48-C54</f>
        <v>3497</v>
      </c>
      <c r="D55" s="115">
        <f>D28+D43+D48-D54</f>
        <v>95641.54365833334</v>
      </c>
      <c r="E55" s="93">
        <f>SUM(C55+D55)</f>
        <v>99138.54365833334</v>
      </c>
    </row>
    <row r="56" spans="1:5" ht="15.75">
      <c r="A56" s="21"/>
      <c r="B56" s="118" t="s">
        <v>188</v>
      </c>
      <c r="C56" s="47"/>
      <c r="D56" s="95"/>
      <c r="E56" s="99"/>
    </row>
    <row r="57" spans="1:5" ht="15">
      <c r="A57" s="21">
        <v>32</v>
      </c>
      <c r="B57" s="96" t="s">
        <v>189</v>
      </c>
      <c r="C57" s="115"/>
      <c r="D57" s="115"/>
      <c r="E57" s="93"/>
    </row>
    <row r="58" spans="1:5" ht="15">
      <c r="A58" s="21">
        <v>33</v>
      </c>
      <c r="B58" s="96" t="s">
        <v>190</v>
      </c>
      <c r="C58" s="115"/>
      <c r="D58" s="115"/>
      <c r="E58" s="93"/>
    </row>
    <row r="59" spans="1:5" ht="15">
      <c r="A59" s="21">
        <v>34</v>
      </c>
      <c r="B59" s="96" t="s">
        <v>191</v>
      </c>
      <c r="C59" s="100"/>
      <c r="D59" s="100"/>
      <c r="E59" s="93"/>
    </row>
    <row r="60" spans="1:5" ht="15.75">
      <c r="A60" s="21">
        <v>35</v>
      </c>
      <c r="B60" s="116" t="s">
        <v>192</v>
      </c>
      <c r="C60" s="117"/>
      <c r="D60" s="117"/>
      <c r="E60" s="97"/>
    </row>
    <row r="61" spans="1:5" ht="16.5" thickBot="1">
      <c r="A61" s="103"/>
      <c r="B61" s="119" t="s">
        <v>193</v>
      </c>
      <c r="C61" s="120">
        <f>SUM(C55,C60)</f>
        <v>3497</v>
      </c>
      <c r="D61" s="120">
        <f>SUM(D55,D60)</f>
        <v>95641.54365833334</v>
      </c>
      <c r="E61" s="121">
        <f>SUM(C61+D61)</f>
        <v>99138.54365833334</v>
      </c>
    </row>
    <row r="65" ht="12.75">
      <c r="A65" t="s">
        <v>238</v>
      </c>
    </row>
    <row r="66" ht="12.75">
      <c r="A66" s="136">
        <f>+BSAssets!A62</f>
        <v>39582</v>
      </c>
    </row>
  </sheetData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workbookViewId="0" topLeftCell="A50">
      <selection activeCell="A1" sqref="A1"/>
    </sheetView>
  </sheetViews>
  <sheetFormatPr defaultColWidth="9.140625" defaultRowHeight="12.75"/>
  <cols>
    <col min="1" max="1" width="10.7109375" style="0" customWidth="1"/>
    <col min="2" max="2" width="45.7109375" style="0" customWidth="1"/>
    <col min="3" max="8" width="12.7109375" style="0" customWidth="1"/>
  </cols>
  <sheetData>
    <row r="1" spans="1:8" ht="20.25">
      <c r="A1" s="126" t="str">
        <f>+BSAssets!A1:A6</f>
        <v>Lakes Region Water Company</v>
      </c>
      <c r="B1" s="4"/>
      <c r="C1" s="4"/>
      <c r="D1" s="4"/>
      <c r="E1" s="4"/>
      <c r="F1" s="4"/>
      <c r="G1" s="4"/>
      <c r="H1" s="5" t="s">
        <v>322</v>
      </c>
    </row>
    <row r="2" spans="1:2" ht="15.75">
      <c r="A2" s="127"/>
      <c r="B2" s="128"/>
    </row>
    <row r="3" spans="1:2" ht="15.75">
      <c r="A3" s="6" t="str">
        <f>+BSAssets!A3</f>
        <v>Financing and Step Increases</v>
      </c>
      <c r="B3" s="60"/>
    </row>
    <row r="4" spans="1:2" ht="15.75">
      <c r="A4" s="6"/>
      <c r="B4" s="60"/>
    </row>
    <row r="5" spans="1:2" ht="15.75">
      <c r="A5" s="6" t="s">
        <v>300</v>
      </c>
      <c r="B5" s="60"/>
    </row>
    <row r="6" spans="1:2" ht="13.5" thickBot="1">
      <c r="A6" s="1"/>
      <c r="B6" s="1"/>
    </row>
    <row r="7" spans="1:8" ht="15.75">
      <c r="A7" s="64"/>
      <c r="B7" s="65"/>
      <c r="C7" s="158"/>
      <c r="D7" s="179" t="s">
        <v>302</v>
      </c>
      <c r="E7" s="158"/>
      <c r="F7" s="158"/>
      <c r="G7" s="186"/>
      <c r="H7" s="154" t="s">
        <v>297</v>
      </c>
    </row>
    <row r="8" spans="1:8" ht="15.75">
      <c r="A8" s="25" t="s">
        <v>86</v>
      </c>
      <c r="B8" s="22" t="s">
        <v>2</v>
      </c>
      <c r="C8" s="159">
        <v>38352</v>
      </c>
      <c r="D8" s="159">
        <v>38352</v>
      </c>
      <c r="E8" s="159">
        <v>38717</v>
      </c>
      <c r="F8" s="159">
        <v>39082</v>
      </c>
      <c r="G8" s="159">
        <v>39447</v>
      </c>
      <c r="H8" s="155">
        <v>39447</v>
      </c>
    </row>
    <row r="9" spans="1:8" ht="15.75">
      <c r="A9" s="68" t="s">
        <v>4</v>
      </c>
      <c r="B9" s="69"/>
      <c r="C9" s="161"/>
      <c r="D9" s="180" t="s">
        <v>303</v>
      </c>
      <c r="E9" s="161"/>
      <c r="F9" s="161"/>
      <c r="G9" s="161"/>
      <c r="H9" s="156"/>
    </row>
    <row r="10" spans="1:8" ht="15.75">
      <c r="A10" s="72"/>
      <c r="B10" s="22" t="s">
        <v>88</v>
      </c>
      <c r="C10" s="47"/>
      <c r="D10" s="47"/>
      <c r="E10" s="47"/>
      <c r="F10" s="47"/>
      <c r="G10" s="47"/>
      <c r="H10" s="99"/>
    </row>
    <row r="11" spans="1:8" ht="15">
      <c r="A11" s="21">
        <v>1</v>
      </c>
      <c r="B11" s="73" t="s">
        <v>89</v>
      </c>
      <c r="C11" s="149">
        <v>10000</v>
      </c>
      <c r="D11" s="149">
        <v>10000</v>
      </c>
      <c r="E11" s="149">
        <v>10000</v>
      </c>
      <c r="F11" s="149">
        <v>10000</v>
      </c>
      <c r="G11" s="149">
        <f>+BSLiabEq!C12</f>
        <v>10000</v>
      </c>
      <c r="H11" s="166">
        <f>+BSLiabEq!E12</f>
        <v>10000</v>
      </c>
    </row>
    <row r="12" spans="1:8" ht="15">
      <c r="A12" s="21">
        <v>2</v>
      </c>
      <c r="B12" s="73" t="s">
        <v>90</v>
      </c>
      <c r="C12" s="47"/>
      <c r="D12" s="47"/>
      <c r="E12" s="47"/>
      <c r="F12" s="150"/>
      <c r="G12" s="150"/>
      <c r="H12" s="99"/>
    </row>
    <row r="13" spans="1:8" ht="15">
      <c r="A13" s="21">
        <v>3</v>
      </c>
      <c r="B13" s="73" t="s">
        <v>91</v>
      </c>
      <c r="C13" s="47"/>
      <c r="D13" s="47"/>
      <c r="E13" s="47"/>
      <c r="F13" s="150"/>
      <c r="G13" s="150"/>
      <c r="H13" s="99"/>
    </row>
    <row r="14" spans="1:8" ht="15">
      <c r="A14" s="21">
        <v>4</v>
      </c>
      <c r="B14" s="73" t="s">
        <v>92</v>
      </c>
      <c r="C14" s="47"/>
      <c r="D14" s="47"/>
      <c r="E14" s="47"/>
      <c r="F14" s="150"/>
      <c r="G14" s="150"/>
      <c r="H14" s="99"/>
    </row>
    <row r="15" spans="1:8" ht="15">
      <c r="A15" s="21">
        <v>5</v>
      </c>
      <c r="B15" s="73" t="s">
        <v>93</v>
      </c>
      <c r="C15" s="150">
        <v>217650</v>
      </c>
      <c r="D15" s="150">
        <v>217650</v>
      </c>
      <c r="E15" s="150">
        <v>217650</v>
      </c>
      <c r="F15" s="150">
        <v>217650</v>
      </c>
      <c r="G15" s="150">
        <f>+BSLiabEq!C16</f>
        <v>217650</v>
      </c>
      <c r="H15" s="167">
        <f>+BSLiabEq!E16</f>
        <v>217650</v>
      </c>
    </row>
    <row r="16" spans="1:8" ht="15">
      <c r="A16" s="21">
        <v>6</v>
      </c>
      <c r="B16" s="73" t="s">
        <v>94</v>
      </c>
      <c r="C16" s="47"/>
      <c r="D16" s="47"/>
      <c r="E16" s="47"/>
      <c r="F16" s="150"/>
      <c r="G16" s="150"/>
      <c r="H16" s="99"/>
    </row>
    <row r="17" spans="1:8" ht="15">
      <c r="A17" s="21">
        <v>7</v>
      </c>
      <c r="B17" s="73" t="s">
        <v>95</v>
      </c>
      <c r="C17" s="47"/>
      <c r="D17" s="47"/>
      <c r="E17" s="47"/>
      <c r="F17" s="150"/>
      <c r="G17" s="150"/>
      <c r="H17" s="165">
        <f>+BSLiabEq!E18</f>
        <v>150000</v>
      </c>
    </row>
    <row r="18" spans="1:8" ht="15">
      <c r="A18" s="21">
        <v>8</v>
      </c>
      <c r="B18" s="73" t="s">
        <v>96</v>
      </c>
      <c r="C18" s="47"/>
      <c r="D18" s="47"/>
      <c r="E18" s="47"/>
      <c r="F18" s="150"/>
      <c r="G18" s="150"/>
      <c r="H18" s="99"/>
    </row>
    <row r="19" spans="1:8" ht="15">
      <c r="A19" s="21">
        <v>9</v>
      </c>
      <c r="B19" s="73" t="s">
        <v>97</v>
      </c>
      <c r="C19" s="47"/>
      <c r="D19" s="47"/>
      <c r="E19" s="47"/>
      <c r="F19" s="150"/>
      <c r="G19" s="150"/>
      <c r="H19" s="99"/>
    </row>
    <row r="20" spans="1:8" ht="15">
      <c r="A20" s="21">
        <v>10</v>
      </c>
      <c r="B20" s="73" t="s">
        <v>98</v>
      </c>
      <c r="C20" s="163">
        <v>339871</v>
      </c>
      <c r="D20" s="163">
        <v>339871</v>
      </c>
      <c r="E20" s="163">
        <v>281512</v>
      </c>
      <c r="F20" s="164">
        <v>303456</v>
      </c>
      <c r="G20" s="164">
        <f>+BSLiabEq!C21</f>
        <v>303569</v>
      </c>
      <c r="H20" s="165">
        <f>+BSLiabEq!E21</f>
        <v>399210.54365833336</v>
      </c>
    </row>
    <row r="21" spans="1:8" ht="15">
      <c r="A21" s="21">
        <v>11</v>
      </c>
      <c r="B21" s="73" t="s">
        <v>99</v>
      </c>
      <c r="C21" s="47"/>
      <c r="D21" s="47"/>
      <c r="E21" s="47"/>
      <c r="F21" s="150"/>
      <c r="G21" s="150"/>
      <c r="H21" s="99"/>
    </row>
    <row r="22" spans="1:8" ht="15">
      <c r="A22" s="21">
        <v>12</v>
      </c>
      <c r="B22" s="73" t="s">
        <v>100</v>
      </c>
      <c r="C22" s="151">
        <f aca="true" t="shared" si="0" ref="C22:H22">SUM(C11:C21)</f>
        <v>567521</v>
      </c>
      <c r="D22" s="151">
        <f t="shared" si="0"/>
        <v>567521</v>
      </c>
      <c r="E22" s="151">
        <f t="shared" si="0"/>
        <v>509162</v>
      </c>
      <c r="F22" s="151">
        <f t="shared" si="0"/>
        <v>531106</v>
      </c>
      <c r="G22" s="151">
        <f t="shared" si="0"/>
        <v>531219</v>
      </c>
      <c r="H22" s="152">
        <f t="shared" si="0"/>
        <v>776860.5436583334</v>
      </c>
    </row>
    <row r="23" spans="1:8" ht="15.75">
      <c r="A23" s="21"/>
      <c r="B23" s="26" t="s">
        <v>298</v>
      </c>
      <c r="C23" s="47"/>
      <c r="D23" s="47"/>
      <c r="E23" s="47"/>
      <c r="F23" s="153"/>
      <c r="G23" s="153"/>
      <c r="H23" s="99"/>
    </row>
    <row r="24" spans="1:8" ht="15">
      <c r="A24" s="21">
        <v>13</v>
      </c>
      <c r="B24" s="73" t="s">
        <v>102</v>
      </c>
      <c r="C24" s="163">
        <v>792397</v>
      </c>
      <c r="D24" s="163">
        <v>739001</v>
      </c>
      <c r="E24" s="163">
        <v>975681</v>
      </c>
      <c r="F24" s="164">
        <v>932245</v>
      </c>
      <c r="G24" s="164">
        <f>+BSLiabEq!C25</f>
        <v>885099</v>
      </c>
      <c r="H24" s="165">
        <f>+BSLiabEq!E25</f>
        <v>885099</v>
      </c>
    </row>
    <row r="25" spans="1:8" ht="15">
      <c r="A25" s="21">
        <v>14</v>
      </c>
      <c r="B25" s="73" t="s">
        <v>103</v>
      </c>
      <c r="C25" s="163"/>
      <c r="D25" s="163"/>
      <c r="E25" s="163"/>
      <c r="F25" s="164"/>
      <c r="G25" s="164"/>
      <c r="H25" s="165"/>
    </row>
    <row r="26" spans="1:8" ht="15">
      <c r="A26" s="21">
        <v>15</v>
      </c>
      <c r="B26" s="73" t="s">
        <v>104</v>
      </c>
      <c r="C26" s="163"/>
      <c r="D26" s="163"/>
      <c r="E26" s="163"/>
      <c r="F26" s="164"/>
      <c r="G26" s="164"/>
      <c r="H26" s="165"/>
    </row>
    <row r="27" spans="1:8" ht="15">
      <c r="A27" s="21">
        <v>16</v>
      </c>
      <c r="B27" s="73" t="s">
        <v>105</v>
      </c>
      <c r="C27" s="163">
        <v>95712</v>
      </c>
      <c r="D27" s="163">
        <v>121631</v>
      </c>
      <c r="E27" s="163">
        <v>127613</v>
      </c>
      <c r="F27" s="164">
        <v>194013</v>
      </c>
      <c r="G27" s="164">
        <f>+BSLiabEq!C28</f>
        <v>442100</v>
      </c>
      <c r="H27" s="165">
        <f>+BSLiabEq!E28</f>
        <v>711484</v>
      </c>
    </row>
    <row r="28" spans="1:8" ht="15">
      <c r="A28" s="21">
        <v>17</v>
      </c>
      <c r="B28" s="73" t="s">
        <v>106</v>
      </c>
      <c r="C28" s="151">
        <f aca="true" t="shared" si="1" ref="C28:H28">SUM(C24:C27)</f>
        <v>888109</v>
      </c>
      <c r="D28" s="151">
        <f t="shared" si="1"/>
        <v>860632</v>
      </c>
      <c r="E28" s="151">
        <f t="shared" si="1"/>
        <v>1103294</v>
      </c>
      <c r="F28" s="151">
        <f t="shared" si="1"/>
        <v>1126258</v>
      </c>
      <c r="G28" s="151">
        <f t="shared" si="1"/>
        <v>1327199</v>
      </c>
      <c r="H28" s="152">
        <f t="shared" si="1"/>
        <v>1596583</v>
      </c>
    </row>
    <row r="29" spans="1:8" ht="16.5" thickBot="1">
      <c r="A29" s="160"/>
      <c r="B29" s="157" t="s">
        <v>299</v>
      </c>
      <c r="C29" s="162">
        <f aca="true" t="shared" si="2" ref="C29:H29">+C22+C28</f>
        <v>1455630</v>
      </c>
      <c r="D29" s="162">
        <f t="shared" si="2"/>
        <v>1428153</v>
      </c>
      <c r="E29" s="162">
        <f t="shared" si="2"/>
        <v>1612456</v>
      </c>
      <c r="F29" s="162">
        <f t="shared" si="2"/>
        <v>1657364</v>
      </c>
      <c r="G29" s="162">
        <f t="shared" si="2"/>
        <v>1858418</v>
      </c>
      <c r="H29" s="168">
        <f t="shared" si="2"/>
        <v>2373443.5436583334</v>
      </c>
    </row>
    <row r="31" ht="15.75">
      <c r="A31" s="131" t="s">
        <v>301</v>
      </c>
    </row>
    <row r="32" ht="13.5" thickBot="1"/>
    <row r="33" spans="1:8" ht="15.75">
      <c r="A33" s="64"/>
      <c r="B33" s="65"/>
      <c r="C33" s="158"/>
      <c r="D33" s="179" t="s">
        <v>302</v>
      </c>
      <c r="E33" s="158"/>
      <c r="F33" s="158"/>
      <c r="G33" s="158"/>
      <c r="H33" s="154" t="s">
        <v>297</v>
      </c>
    </row>
    <row r="34" spans="1:8" ht="15.75">
      <c r="A34" s="25" t="s">
        <v>86</v>
      </c>
      <c r="B34" s="22" t="s">
        <v>2</v>
      </c>
      <c r="C34" s="159">
        <v>38352</v>
      </c>
      <c r="D34" s="159">
        <v>38352</v>
      </c>
      <c r="E34" s="159">
        <v>38717</v>
      </c>
      <c r="F34" s="159">
        <v>39082</v>
      </c>
      <c r="G34" s="159">
        <v>39447</v>
      </c>
      <c r="H34" s="155">
        <v>39447</v>
      </c>
    </row>
    <row r="35" spans="1:8" ht="15.75">
      <c r="A35" s="68" t="s">
        <v>4</v>
      </c>
      <c r="B35" s="69" t="s">
        <v>5</v>
      </c>
      <c r="C35" s="161"/>
      <c r="D35" s="180" t="s">
        <v>303</v>
      </c>
      <c r="E35" s="161"/>
      <c r="F35" s="161"/>
      <c r="G35" s="161"/>
      <c r="H35" s="156"/>
    </row>
    <row r="36" spans="1:8" ht="15.75">
      <c r="A36" s="72"/>
      <c r="B36" s="22" t="s">
        <v>88</v>
      </c>
      <c r="C36" s="47"/>
      <c r="D36" s="47"/>
      <c r="E36" s="47"/>
      <c r="F36" s="47"/>
      <c r="G36" s="47"/>
      <c r="H36" s="99"/>
    </row>
    <row r="37" spans="1:8" ht="15">
      <c r="A37" s="21">
        <v>1</v>
      </c>
      <c r="B37" s="73" t="s">
        <v>89</v>
      </c>
      <c r="C37" s="169">
        <f aca="true" t="shared" si="3" ref="C37:H37">+C11/C29</f>
        <v>0.006869877647479098</v>
      </c>
      <c r="D37" s="169">
        <f t="shared" si="3"/>
        <v>0.0070020509007088175</v>
      </c>
      <c r="E37" s="169">
        <f t="shared" si="3"/>
        <v>0.006201719612814241</v>
      </c>
      <c r="F37" s="169">
        <f t="shared" si="3"/>
        <v>0.006033677574751231</v>
      </c>
      <c r="G37" s="169">
        <f t="shared" si="3"/>
        <v>0.0053809207616370485</v>
      </c>
      <c r="H37" s="170">
        <f t="shared" si="3"/>
        <v>0.004213287493911227</v>
      </c>
    </row>
    <row r="38" spans="1:8" ht="15">
      <c r="A38" s="21">
        <v>2</v>
      </c>
      <c r="B38" s="73" t="s">
        <v>90</v>
      </c>
      <c r="C38" s="171"/>
      <c r="D38" s="171"/>
      <c r="E38" s="171"/>
      <c r="F38" s="171"/>
      <c r="G38" s="171"/>
      <c r="H38" s="172"/>
    </row>
    <row r="39" spans="1:8" ht="15">
      <c r="A39" s="21">
        <v>3</v>
      </c>
      <c r="B39" s="73" t="s">
        <v>91</v>
      </c>
      <c r="C39" s="171"/>
      <c r="D39" s="171"/>
      <c r="E39" s="171"/>
      <c r="F39" s="171"/>
      <c r="G39" s="171"/>
      <c r="H39" s="172"/>
    </row>
    <row r="40" spans="1:8" ht="15">
      <c r="A40" s="21">
        <v>4</v>
      </c>
      <c r="B40" s="73" t="s">
        <v>92</v>
      </c>
      <c r="C40" s="171"/>
      <c r="D40" s="171"/>
      <c r="E40" s="171"/>
      <c r="F40" s="171"/>
      <c r="G40" s="171"/>
      <c r="H40" s="172"/>
    </row>
    <row r="41" spans="1:8" ht="15">
      <c r="A41" s="21">
        <v>5</v>
      </c>
      <c r="B41" s="73" t="s">
        <v>93</v>
      </c>
      <c r="C41" s="171">
        <f aca="true" t="shared" si="4" ref="C41:H41">+C15/C29</f>
        <v>0.1495228869973826</v>
      </c>
      <c r="D41" s="171">
        <f t="shared" si="4"/>
        <v>0.1523996378539274</v>
      </c>
      <c r="E41" s="171">
        <f t="shared" si="4"/>
        <v>0.13498042737290195</v>
      </c>
      <c r="F41" s="171">
        <f t="shared" si="4"/>
        <v>0.13132299241446055</v>
      </c>
      <c r="G41" s="171">
        <f t="shared" si="4"/>
        <v>0.11711574037703036</v>
      </c>
      <c r="H41" s="172">
        <f t="shared" si="4"/>
        <v>0.09170220230497785</v>
      </c>
    </row>
    <row r="42" spans="1:8" ht="15">
      <c r="A42" s="21">
        <v>6</v>
      </c>
      <c r="B42" s="73" t="s">
        <v>94</v>
      </c>
      <c r="C42" s="171"/>
      <c r="D42" s="171"/>
      <c r="E42" s="171"/>
      <c r="F42" s="171"/>
      <c r="G42" s="171"/>
      <c r="H42" s="172"/>
    </row>
    <row r="43" spans="1:8" ht="15">
      <c r="A43" s="21">
        <v>7</v>
      </c>
      <c r="B43" s="73" t="s">
        <v>95</v>
      </c>
      <c r="C43" s="171"/>
      <c r="D43" s="171"/>
      <c r="E43" s="171"/>
      <c r="F43" s="171"/>
      <c r="G43" s="171"/>
      <c r="H43" s="172">
        <f>+H17/H29</f>
        <v>0.0631993124086684</v>
      </c>
    </row>
    <row r="44" spans="1:8" ht="15">
      <c r="A44" s="21">
        <v>8</v>
      </c>
      <c r="B44" s="73" t="s">
        <v>96</v>
      </c>
      <c r="C44" s="171"/>
      <c r="D44" s="171"/>
      <c r="E44" s="171"/>
      <c r="F44" s="171"/>
      <c r="G44" s="171"/>
      <c r="H44" s="172"/>
    </row>
    <row r="45" spans="1:8" ht="15">
      <c r="A45" s="21">
        <v>9</v>
      </c>
      <c r="B45" s="73" t="s">
        <v>97</v>
      </c>
      <c r="C45" s="171"/>
      <c r="D45" s="171"/>
      <c r="E45" s="171"/>
      <c r="F45" s="171"/>
      <c r="G45" s="171"/>
      <c r="H45" s="172"/>
    </row>
    <row r="46" spans="1:8" ht="15">
      <c r="A46" s="21">
        <v>10</v>
      </c>
      <c r="B46" s="73" t="s">
        <v>98</v>
      </c>
      <c r="C46" s="171">
        <f aca="true" t="shared" si="5" ref="C46:H46">+C20/C29</f>
        <v>0.23348721859263685</v>
      </c>
      <c r="D46" s="171">
        <f t="shared" si="5"/>
        <v>0.23797940416748065</v>
      </c>
      <c r="E46" s="171">
        <f t="shared" si="5"/>
        <v>0.17458584916425626</v>
      </c>
      <c r="F46" s="171">
        <f t="shared" si="5"/>
        <v>0.18309556621237097</v>
      </c>
      <c r="G46" s="171">
        <f t="shared" si="5"/>
        <v>0.1633480734689397</v>
      </c>
      <c r="H46" s="172">
        <f t="shared" si="5"/>
        <v>0.16819887910331577</v>
      </c>
    </row>
    <row r="47" spans="1:8" ht="15">
      <c r="A47" s="21">
        <v>11</v>
      </c>
      <c r="B47" s="73" t="s">
        <v>99</v>
      </c>
      <c r="C47" s="171"/>
      <c r="D47" s="171"/>
      <c r="E47" s="171"/>
      <c r="F47" s="171"/>
      <c r="G47" s="171"/>
      <c r="H47" s="172"/>
    </row>
    <row r="48" spans="1:8" ht="15">
      <c r="A48" s="21">
        <v>12</v>
      </c>
      <c r="B48" s="73" t="s">
        <v>100</v>
      </c>
      <c r="C48" s="174">
        <f aca="true" t="shared" si="6" ref="C48:H48">SUM(C37:C47)</f>
        <v>0.3898799832374985</v>
      </c>
      <c r="D48" s="174">
        <f t="shared" si="6"/>
        <v>0.3973810929221169</v>
      </c>
      <c r="E48" s="174">
        <f t="shared" si="6"/>
        <v>0.3157679961499724</v>
      </c>
      <c r="F48" s="174">
        <f t="shared" si="6"/>
        <v>0.32045223620158275</v>
      </c>
      <c r="G48" s="174">
        <f t="shared" si="6"/>
        <v>0.2858447346076071</v>
      </c>
      <c r="H48" s="175">
        <f t="shared" si="6"/>
        <v>0.32731368131087324</v>
      </c>
    </row>
    <row r="49" spans="1:8" ht="15.75">
      <c r="A49" s="21"/>
      <c r="B49" s="26" t="s">
        <v>298</v>
      </c>
      <c r="C49" s="173"/>
      <c r="D49" s="173"/>
      <c r="E49" s="173"/>
      <c r="F49" s="173"/>
      <c r="G49" s="173"/>
      <c r="H49" s="178"/>
    </row>
    <row r="50" spans="1:8" ht="15">
      <c r="A50" s="21">
        <v>13</v>
      </c>
      <c r="B50" s="73" t="s">
        <v>102</v>
      </c>
      <c r="C50" s="171">
        <f aca="true" t="shared" si="7" ref="C50:H50">+C24/C29</f>
        <v>0.5443670438229495</v>
      </c>
      <c r="D50" s="171">
        <f t="shared" si="7"/>
        <v>0.5174522617674717</v>
      </c>
      <c r="E50" s="171">
        <f t="shared" si="7"/>
        <v>0.6050899993550212</v>
      </c>
      <c r="F50" s="171">
        <f t="shared" si="7"/>
        <v>0.5624865750673962</v>
      </c>
      <c r="G50" s="171">
        <f t="shared" si="7"/>
        <v>0.476264758520419</v>
      </c>
      <c r="H50" s="172">
        <f t="shared" si="7"/>
        <v>0.37291765475733324</v>
      </c>
    </row>
    <row r="51" spans="1:8" ht="15">
      <c r="A51" s="21">
        <v>14</v>
      </c>
      <c r="B51" s="73" t="s">
        <v>103</v>
      </c>
      <c r="C51" s="171"/>
      <c r="D51" s="171"/>
      <c r="E51" s="171"/>
      <c r="F51" s="171"/>
      <c r="G51" s="171"/>
      <c r="H51" s="172"/>
    </row>
    <row r="52" spans="1:8" ht="15">
      <c r="A52" s="21">
        <v>15</v>
      </c>
      <c r="B52" s="73" t="s">
        <v>104</v>
      </c>
      <c r="C52" s="171"/>
      <c r="D52" s="171"/>
      <c r="E52" s="171"/>
      <c r="F52" s="171"/>
      <c r="G52" s="171"/>
      <c r="H52" s="172"/>
    </row>
    <row r="53" spans="1:8" ht="15">
      <c r="A53" s="21">
        <v>16</v>
      </c>
      <c r="B53" s="73" t="s">
        <v>105</v>
      </c>
      <c r="C53" s="171">
        <f aca="true" t="shared" si="8" ref="C53:H53">+C27/C29</f>
        <v>0.06575297293955194</v>
      </c>
      <c r="D53" s="171">
        <f t="shared" si="8"/>
        <v>0.08516664531041142</v>
      </c>
      <c r="E53" s="171">
        <f t="shared" si="8"/>
        <v>0.07914200449500637</v>
      </c>
      <c r="F53" s="171">
        <f t="shared" si="8"/>
        <v>0.11706118873102107</v>
      </c>
      <c r="G53" s="171">
        <f t="shared" si="8"/>
        <v>0.2378905068719739</v>
      </c>
      <c r="H53" s="172">
        <f t="shared" si="8"/>
        <v>0.2997686639317935</v>
      </c>
    </row>
    <row r="54" spans="1:8" ht="15">
      <c r="A54" s="21">
        <v>17</v>
      </c>
      <c r="B54" s="73" t="s">
        <v>106</v>
      </c>
      <c r="C54" s="174">
        <f aca="true" t="shared" si="9" ref="C54:H54">SUM(C50:C53)</f>
        <v>0.6101200167625015</v>
      </c>
      <c r="D54" s="174">
        <f t="shared" si="9"/>
        <v>0.6026189070778831</v>
      </c>
      <c r="E54" s="174">
        <f t="shared" si="9"/>
        <v>0.6842320038500276</v>
      </c>
      <c r="F54" s="174">
        <f t="shared" si="9"/>
        <v>0.6795477637984173</v>
      </c>
      <c r="G54" s="174">
        <f t="shared" si="9"/>
        <v>0.7141552653923929</v>
      </c>
      <c r="H54" s="175">
        <f t="shared" si="9"/>
        <v>0.6726863186891268</v>
      </c>
    </row>
    <row r="55" spans="1:8" ht="16.5" thickBot="1">
      <c r="A55" s="160"/>
      <c r="B55" s="157" t="s">
        <v>299</v>
      </c>
      <c r="C55" s="176">
        <f aca="true" t="shared" si="10" ref="C55:H55">+C48+C54</f>
        <v>1</v>
      </c>
      <c r="D55" s="176">
        <f t="shared" si="10"/>
        <v>1</v>
      </c>
      <c r="E55" s="176">
        <f t="shared" si="10"/>
        <v>1</v>
      </c>
      <c r="F55" s="176">
        <f t="shared" si="10"/>
        <v>1</v>
      </c>
      <c r="G55" s="176">
        <f t="shared" si="10"/>
        <v>1</v>
      </c>
      <c r="H55" s="177">
        <f t="shared" si="10"/>
        <v>1</v>
      </c>
    </row>
    <row r="59" ht="12.75">
      <c r="A59" t="s">
        <v>238</v>
      </c>
    </row>
    <row r="60" ht="12.75">
      <c r="A60" s="136">
        <f>+BSAssets!A62</f>
        <v>39582</v>
      </c>
    </row>
  </sheetData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9" max="9" width="9.7109375" style="0" bestFit="1" customWidth="1"/>
  </cols>
  <sheetData>
    <row r="1" spans="1:9" ht="20.25">
      <c r="A1" s="123" t="s">
        <v>197</v>
      </c>
      <c r="B1" s="2"/>
      <c r="C1" s="4"/>
      <c r="D1" s="4"/>
      <c r="E1" s="4"/>
      <c r="F1" s="4"/>
      <c r="G1" s="4"/>
      <c r="H1" s="4"/>
      <c r="I1" s="5" t="s">
        <v>323</v>
      </c>
    </row>
    <row r="2" spans="1:2" ht="15.75">
      <c r="A2" s="6"/>
      <c r="B2" s="7"/>
    </row>
    <row r="3" spans="1:2" ht="15.75">
      <c r="A3" s="6" t="s">
        <v>198</v>
      </c>
      <c r="B3" s="7"/>
    </row>
    <row r="5" spans="1:9" ht="15.75">
      <c r="A5" s="131" t="s">
        <v>203</v>
      </c>
      <c r="I5" s="1" t="s">
        <v>235</v>
      </c>
    </row>
    <row r="6" ht="12.75">
      <c r="I6" s="133" t="s">
        <v>236</v>
      </c>
    </row>
    <row r="7" spans="1:9" ht="12.75">
      <c r="A7" t="s">
        <v>207</v>
      </c>
      <c r="B7" t="s">
        <v>204</v>
      </c>
      <c r="G7" s="132">
        <v>10000</v>
      </c>
      <c r="H7" s="132"/>
      <c r="I7" s="135"/>
    </row>
    <row r="8" spans="1:9" ht="12.75">
      <c r="A8" t="s">
        <v>208</v>
      </c>
      <c r="B8" t="s">
        <v>205</v>
      </c>
      <c r="G8" s="132"/>
      <c r="H8" s="132">
        <v>10000</v>
      </c>
      <c r="I8" s="135"/>
    </row>
    <row r="9" spans="1:9" ht="12.75">
      <c r="A9" t="s">
        <v>206</v>
      </c>
      <c r="G9" s="132"/>
      <c r="H9" s="132"/>
      <c r="I9" s="135"/>
    </row>
    <row r="10" spans="7:9" ht="12.75">
      <c r="G10" s="132"/>
      <c r="H10" s="132"/>
      <c r="I10" s="135"/>
    </row>
    <row r="11" spans="1:9" ht="12.75">
      <c r="A11" t="s">
        <v>207</v>
      </c>
      <c r="B11" t="s">
        <v>205</v>
      </c>
      <c r="G11" s="132">
        <v>310524</v>
      </c>
      <c r="H11" s="132"/>
      <c r="I11" s="135"/>
    </row>
    <row r="12" spans="1:9" ht="12.75">
      <c r="A12" t="s">
        <v>208</v>
      </c>
      <c r="B12" t="s">
        <v>360</v>
      </c>
      <c r="G12" s="132"/>
      <c r="H12" s="132">
        <v>150000</v>
      </c>
      <c r="I12" s="135"/>
    </row>
    <row r="13" spans="1:9" ht="12.75">
      <c r="A13" t="s">
        <v>208</v>
      </c>
      <c r="B13" t="s">
        <v>361</v>
      </c>
      <c r="G13" s="132"/>
      <c r="H13" s="132">
        <f>+G11-H12</f>
        <v>160524</v>
      </c>
      <c r="I13" s="135"/>
    </row>
    <row r="14" spans="1:9" ht="12.75">
      <c r="A14" t="s">
        <v>365</v>
      </c>
      <c r="G14" s="132"/>
      <c r="H14" s="132"/>
      <c r="I14" s="135"/>
    </row>
    <row r="15" spans="1:9" ht="12.75">
      <c r="A15" t="s">
        <v>393</v>
      </c>
      <c r="G15" s="132"/>
      <c r="H15" s="132"/>
      <c r="I15" s="135"/>
    </row>
    <row r="16" spans="7:9" ht="12.75">
      <c r="G16" s="132"/>
      <c r="H16" s="132"/>
      <c r="I16" s="135"/>
    </row>
    <row r="17" spans="1:9" ht="12.75">
      <c r="A17" t="s">
        <v>207</v>
      </c>
      <c r="B17" t="s">
        <v>399</v>
      </c>
      <c r="G17" s="132">
        <v>169889</v>
      </c>
      <c r="H17" s="132"/>
      <c r="I17" s="135"/>
    </row>
    <row r="18" spans="1:9" ht="12.75">
      <c r="A18" t="s">
        <v>208</v>
      </c>
      <c r="B18" t="s">
        <v>400</v>
      </c>
      <c r="G18" s="132"/>
      <c r="H18" s="132">
        <f>+G17-H19</f>
        <v>111600</v>
      </c>
      <c r="I18" s="135"/>
    </row>
    <row r="19" spans="1:9" ht="12.75">
      <c r="A19" t="s">
        <v>208</v>
      </c>
      <c r="B19" t="s">
        <v>205</v>
      </c>
      <c r="G19" s="132"/>
      <c r="H19" s="132">
        <v>58289</v>
      </c>
      <c r="I19" s="135"/>
    </row>
    <row r="20" spans="1:9" ht="12.75">
      <c r="A20" t="s">
        <v>401</v>
      </c>
      <c r="G20" s="132"/>
      <c r="H20" s="132"/>
      <c r="I20" s="135"/>
    </row>
    <row r="21" spans="7:9" ht="12.75">
      <c r="G21" s="132"/>
      <c r="H21" s="132"/>
      <c r="I21" s="135"/>
    </row>
    <row r="22" spans="1:9" ht="12.75">
      <c r="A22" t="s">
        <v>207</v>
      </c>
      <c r="B22" t="s">
        <v>212</v>
      </c>
      <c r="G22" s="132">
        <v>92054</v>
      </c>
      <c r="H22" s="132"/>
      <c r="I22" s="135"/>
    </row>
    <row r="23" spans="1:9" ht="12.75">
      <c r="A23" t="s">
        <v>208</v>
      </c>
      <c r="B23" t="s">
        <v>209</v>
      </c>
      <c r="G23" s="132"/>
      <c r="H23" s="132">
        <f>+G22</f>
        <v>92054</v>
      </c>
      <c r="I23" s="135"/>
    </row>
    <row r="24" spans="1:9" ht="12.75">
      <c r="A24" t="s">
        <v>207</v>
      </c>
      <c r="B24" t="s">
        <v>397</v>
      </c>
      <c r="G24" s="132">
        <v>39160</v>
      </c>
      <c r="H24" s="132"/>
      <c r="I24" s="135"/>
    </row>
    <row r="25" spans="1:9" ht="12.75">
      <c r="A25" t="s">
        <v>208</v>
      </c>
      <c r="B25" t="s">
        <v>214</v>
      </c>
      <c r="G25" s="132"/>
      <c r="H25" s="132">
        <f>+G24</f>
        <v>39160</v>
      </c>
      <c r="I25" s="135"/>
    </row>
    <row r="26" spans="1:9" ht="12.75">
      <c r="A26" t="s">
        <v>398</v>
      </c>
      <c r="G26" s="132"/>
      <c r="H26" s="132"/>
      <c r="I26" s="135"/>
    </row>
    <row r="27" spans="7:9" ht="12.75">
      <c r="G27" s="132"/>
      <c r="H27" s="132"/>
      <c r="I27" s="135"/>
    </row>
    <row r="28" spans="1:9" ht="12.75">
      <c r="A28" t="s">
        <v>207</v>
      </c>
      <c r="B28" t="s">
        <v>363</v>
      </c>
      <c r="G28" s="132">
        <v>936602</v>
      </c>
      <c r="H28" s="132"/>
      <c r="I28" s="135"/>
    </row>
    <row r="29" spans="1:9" ht="12.75">
      <c r="A29" t="s">
        <v>208</v>
      </c>
      <c r="B29" t="s">
        <v>387</v>
      </c>
      <c r="G29" s="132"/>
      <c r="H29" s="132">
        <v>514786</v>
      </c>
      <c r="I29" s="135"/>
    </row>
    <row r="30" spans="1:9" ht="12.75">
      <c r="A30" t="s">
        <v>208</v>
      </c>
      <c r="B30" t="s">
        <v>364</v>
      </c>
      <c r="G30" s="132"/>
      <c r="H30" s="132">
        <v>100000</v>
      </c>
      <c r="I30" s="135"/>
    </row>
    <row r="31" spans="1:9" ht="12.75">
      <c r="A31" t="s">
        <v>208</v>
      </c>
      <c r="B31" t="s">
        <v>205</v>
      </c>
      <c r="G31" s="132"/>
      <c r="H31" s="132">
        <f>+G28-H29-H30</f>
        <v>321816</v>
      </c>
      <c r="I31" s="135"/>
    </row>
    <row r="32" spans="1:9" ht="12.75">
      <c r="A32" t="s">
        <v>357</v>
      </c>
      <c r="G32" s="132"/>
      <c r="H32" s="132"/>
      <c r="I32" s="135"/>
    </row>
    <row r="33" spans="1:9" ht="12.75">
      <c r="A33" t="s">
        <v>394</v>
      </c>
      <c r="G33" s="132"/>
      <c r="H33" s="132"/>
      <c r="I33" s="135"/>
    </row>
    <row r="34" spans="1:9" ht="12.75">
      <c r="A34" t="s">
        <v>362</v>
      </c>
      <c r="G34" s="132"/>
      <c r="H34" s="132"/>
      <c r="I34" s="135"/>
    </row>
    <row r="35" spans="7:9" ht="12.75">
      <c r="G35" s="132"/>
      <c r="H35" s="132"/>
      <c r="I35" s="135"/>
    </row>
    <row r="36" spans="1:9" ht="12.75">
      <c r="A36" t="s">
        <v>207</v>
      </c>
      <c r="B36" t="s">
        <v>211</v>
      </c>
      <c r="G36" s="132">
        <f>+DeprAD!F56</f>
        <v>25859.025833333333</v>
      </c>
      <c r="H36" s="132"/>
      <c r="I36" s="135">
        <f>-G36</f>
        <v>-25859.025833333333</v>
      </c>
    </row>
    <row r="37" spans="1:9" ht="12.75">
      <c r="A37" t="s">
        <v>208</v>
      </c>
      <c r="B37" t="s">
        <v>212</v>
      </c>
      <c r="G37" s="132"/>
      <c r="H37" s="132">
        <f>+G36</f>
        <v>25859.025833333333</v>
      </c>
      <c r="I37" s="135"/>
    </row>
    <row r="38" spans="1:9" ht="12.75">
      <c r="A38" t="s">
        <v>213</v>
      </c>
      <c r="G38" s="132"/>
      <c r="H38" s="132"/>
      <c r="I38" s="135"/>
    </row>
    <row r="39" spans="7:9" ht="12.75">
      <c r="G39" s="132"/>
      <c r="H39" s="132"/>
      <c r="I39" s="135"/>
    </row>
    <row r="40" spans="1:9" ht="12.75">
      <c r="A40" t="s">
        <v>207</v>
      </c>
      <c r="B40" t="s">
        <v>214</v>
      </c>
      <c r="G40" s="132">
        <f>+AmortAA!F16</f>
        <v>4429.1625</v>
      </c>
      <c r="H40" s="132"/>
      <c r="I40" s="135"/>
    </row>
    <row r="41" spans="1:9" ht="12.75">
      <c r="A41" t="s">
        <v>208</v>
      </c>
      <c r="B41" t="s">
        <v>215</v>
      </c>
      <c r="G41" s="132"/>
      <c r="H41" s="132">
        <f>+G40</f>
        <v>4429.1625</v>
      </c>
      <c r="I41" s="135">
        <f>+H41</f>
        <v>4429.1625</v>
      </c>
    </row>
    <row r="42" spans="1:9" ht="12.75">
      <c r="A42" t="s">
        <v>216</v>
      </c>
      <c r="G42" s="132"/>
      <c r="H42" s="132"/>
      <c r="I42" s="135"/>
    </row>
    <row r="43" spans="7:9" ht="12.75">
      <c r="G43" s="132"/>
      <c r="H43" s="132"/>
      <c r="I43" s="135"/>
    </row>
    <row r="44" spans="1:9" ht="12.75">
      <c r="A44" t="s">
        <v>207</v>
      </c>
      <c r="B44" t="s">
        <v>217</v>
      </c>
      <c r="G44" s="132">
        <v>5000</v>
      </c>
      <c r="H44" s="132"/>
      <c r="I44" s="135">
        <f>-G44</f>
        <v>-5000</v>
      </c>
    </row>
    <row r="45" spans="1:9" ht="12.75">
      <c r="A45" t="s">
        <v>208</v>
      </c>
      <c r="B45" t="s">
        <v>205</v>
      </c>
      <c r="G45" s="132"/>
      <c r="H45" s="132">
        <v>5000</v>
      </c>
      <c r="I45" s="135"/>
    </row>
    <row r="46" spans="1:9" ht="12.75">
      <c r="A46" t="s">
        <v>218</v>
      </c>
      <c r="G46" s="132"/>
      <c r="H46" s="132"/>
      <c r="I46" s="135"/>
    </row>
    <row r="47" spans="7:9" ht="12.75">
      <c r="G47" s="132"/>
      <c r="H47" s="132"/>
      <c r="I47" s="135"/>
    </row>
    <row r="48" spans="1:9" ht="12.75">
      <c r="A48" t="s">
        <v>207</v>
      </c>
      <c r="B48" t="s">
        <v>219</v>
      </c>
      <c r="G48" s="132">
        <v>5000</v>
      </c>
      <c r="H48" s="132"/>
      <c r="I48" s="135">
        <f>-G48</f>
        <v>-5000</v>
      </c>
    </row>
    <row r="49" spans="1:9" ht="12.75">
      <c r="A49" t="s">
        <v>208</v>
      </c>
      <c r="B49" t="s">
        <v>204</v>
      </c>
      <c r="G49" s="132"/>
      <c r="H49" s="132">
        <v>5000</v>
      </c>
      <c r="I49" s="135"/>
    </row>
    <row r="50" spans="1:9" ht="12.75">
      <c r="A50" t="s">
        <v>220</v>
      </c>
      <c r="G50" s="132"/>
      <c r="H50" s="132"/>
      <c r="I50" s="135"/>
    </row>
    <row r="51" spans="7:9" ht="12.75">
      <c r="G51" s="132"/>
      <c r="H51" s="132"/>
      <c r="I51" s="135"/>
    </row>
    <row r="52" spans="1:9" ht="12.75">
      <c r="A52" t="s">
        <v>221</v>
      </c>
      <c r="B52" t="s">
        <v>222</v>
      </c>
      <c r="G52" s="132">
        <f>+RevReq!H46</f>
        <v>5227.669479175001</v>
      </c>
      <c r="H52" s="132"/>
      <c r="I52" s="135">
        <f>-G52</f>
        <v>-5227.669479175001</v>
      </c>
    </row>
    <row r="53" spans="1:9" ht="12.75">
      <c r="A53" t="s">
        <v>221</v>
      </c>
      <c r="B53" t="s">
        <v>223</v>
      </c>
      <c r="G53" s="132">
        <f>+RevReq!H47</f>
        <v>11881.066998125001</v>
      </c>
      <c r="H53" s="132"/>
      <c r="I53" s="135">
        <f>-G53</f>
        <v>-11881.066998125001</v>
      </c>
    </row>
    <row r="54" spans="1:9" ht="12.75">
      <c r="A54" t="s">
        <v>221</v>
      </c>
      <c r="B54" t="s">
        <v>224</v>
      </c>
      <c r="G54" s="132">
        <f>+Taxes!H31</f>
        <v>10368.980000000001</v>
      </c>
      <c r="H54" s="132"/>
      <c r="I54" s="135">
        <f>-G54</f>
        <v>-10368.980000000001</v>
      </c>
    </row>
    <row r="55" spans="1:9" ht="12.75">
      <c r="A55" t="s">
        <v>221</v>
      </c>
      <c r="B55" t="s">
        <v>377</v>
      </c>
      <c r="G55" s="132">
        <f>+Taxes!H39</f>
        <v>16742.853</v>
      </c>
      <c r="H55" s="132"/>
      <c r="I55" s="135">
        <f>-G55</f>
        <v>-16742.853</v>
      </c>
    </row>
    <row r="56" spans="1:9" ht="12.75">
      <c r="A56" t="s">
        <v>208</v>
      </c>
      <c r="B56" t="s">
        <v>205</v>
      </c>
      <c r="G56" s="132"/>
      <c r="H56" s="132">
        <f>SUM(G52:G55)</f>
        <v>44220.5694773</v>
      </c>
      <c r="I56" s="135"/>
    </row>
    <row r="57" spans="1:9" ht="12.75">
      <c r="A57" t="s">
        <v>227</v>
      </c>
      <c r="G57" s="132"/>
      <c r="H57" s="132"/>
      <c r="I57" s="135"/>
    </row>
    <row r="58" spans="7:9" ht="12.75">
      <c r="G58" s="132"/>
      <c r="H58" s="132"/>
      <c r="I58" s="135"/>
    </row>
    <row r="59" spans="1:9" ht="12.75">
      <c r="A59" t="s">
        <v>207</v>
      </c>
      <c r="B59" t="s">
        <v>225</v>
      </c>
      <c r="G59" s="132">
        <v>2740</v>
      </c>
      <c r="H59" s="132"/>
      <c r="I59" s="135"/>
    </row>
    <row r="60" spans="1:9" ht="12.75">
      <c r="A60" t="s">
        <v>207</v>
      </c>
      <c r="B60" t="s">
        <v>226</v>
      </c>
      <c r="G60" s="132">
        <v>15531</v>
      </c>
      <c r="H60" s="132"/>
      <c r="I60" s="135">
        <f>-G60</f>
        <v>-15531</v>
      </c>
    </row>
    <row r="61" spans="1:9" ht="12.75">
      <c r="A61" t="s">
        <v>208</v>
      </c>
      <c r="B61" t="s">
        <v>205</v>
      </c>
      <c r="G61" s="132"/>
      <c r="H61" s="132">
        <f>SUM(G59:G60)</f>
        <v>18271</v>
      </c>
      <c r="I61" s="135"/>
    </row>
    <row r="62" spans="1:9" ht="12.75">
      <c r="A62" t="s">
        <v>228</v>
      </c>
      <c r="G62" s="132"/>
      <c r="H62" s="132"/>
      <c r="I62" s="135"/>
    </row>
    <row r="63" spans="7:9" ht="12.75">
      <c r="G63" s="132"/>
      <c r="H63" s="132"/>
      <c r="I63" s="135"/>
    </row>
    <row r="64" spans="1:9" ht="12.75">
      <c r="A64" t="s">
        <v>207</v>
      </c>
      <c r="B64" t="s">
        <v>229</v>
      </c>
      <c r="G64" s="132">
        <v>250</v>
      </c>
      <c r="H64" s="132"/>
      <c r="I64" s="135">
        <f>-G64</f>
        <v>-250</v>
      </c>
    </row>
    <row r="65" spans="1:9" ht="12.75">
      <c r="A65" t="s">
        <v>208</v>
      </c>
      <c r="B65" t="s">
        <v>230</v>
      </c>
      <c r="G65" s="132"/>
      <c r="H65" s="132">
        <v>250</v>
      </c>
      <c r="I65" s="135"/>
    </row>
    <row r="66" spans="1:9" ht="12.75">
      <c r="A66" t="s">
        <v>231</v>
      </c>
      <c r="G66" s="132"/>
      <c r="H66" s="132"/>
      <c r="I66" s="135"/>
    </row>
    <row r="67" spans="7:9" ht="12.75">
      <c r="G67" s="132"/>
      <c r="H67" s="132"/>
      <c r="I67" s="135"/>
    </row>
    <row r="68" spans="1:9" ht="12.75">
      <c r="A68" t="s">
        <v>221</v>
      </c>
      <c r="B68" t="s">
        <v>205</v>
      </c>
      <c r="G68" s="132">
        <f>+H69+H70</f>
        <v>187072.97646896666</v>
      </c>
      <c r="H68" s="132"/>
      <c r="I68" s="135"/>
    </row>
    <row r="69" spans="1:9" ht="12.75">
      <c r="A69" t="s">
        <v>208</v>
      </c>
      <c r="B69" t="s">
        <v>232</v>
      </c>
      <c r="G69" s="132"/>
      <c r="H69" s="132">
        <f>+RevReq!H52</f>
        <v>182072.97646896666</v>
      </c>
      <c r="I69" s="135">
        <f>+H69</f>
        <v>182072.97646896666</v>
      </c>
    </row>
    <row r="70" spans="1:9" ht="12.75">
      <c r="A70" t="s">
        <v>208</v>
      </c>
      <c r="B70" t="s">
        <v>233</v>
      </c>
      <c r="G70" s="132"/>
      <c r="H70" s="132">
        <v>5000</v>
      </c>
      <c r="I70" s="135">
        <f>+H70</f>
        <v>5000</v>
      </c>
    </row>
    <row r="71" spans="1:9" ht="12.75">
      <c r="A71" t="s">
        <v>234</v>
      </c>
      <c r="I71" s="135"/>
    </row>
    <row r="72" ht="12.75">
      <c r="I72" s="135"/>
    </row>
    <row r="73" spans="1:9" ht="12.75">
      <c r="A73" t="s">
        <v>237</v>
      </c>
      <c r="I73" s="135">
        <f>SUM(I7:I70)</f>
        <v>95641.54365833332</v>
      </c>
    </row>
    <row r="75" ht="12.75">
      <c r="A75" t="s">
        <v>238</v>
      </c>
    </row>
    <row r="76" ht="12.75">
      <c r="A76" s="136">
        <f>+BSAssets!A62</f>
        <v>39582</v>
      </c>
    </row>
  </sheetData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workbookViewId="0" topLeftCell="A1">
      <selection activeCell="A61" sqref="A61"/>
    </sheetView>
  </sheetViews>
  <sheetFormatPr defaultColWidth="9.140625" defaultRowHeight="12.75"/>
  <cols>
    <col min="1" max="1" width="42.7109375" style="0" customWidth="1"/>
    <col min="2" max="8" width="10.7109375" style="0" customWidth="1"/>
  </cols>
  <sheetData>
    <row r="1" spans="1:8" ht="20.25">
      <c r="A1" s="183" t="s">
        <v>239</v>
      </c>
      <c r="B1" s="4"/>
      <c r="C1" s="4"/>
      <c r="D1" s="4"/>
      <c r="E1" s="4"/>
      <c r="F1" s="4"/>
      <c r="G1" s="4"/>
      <c r="H1" s="5" t="s">
        <v>325</v>
      </c>
    </row>
    <row r="3" ht="15.75">
      <c r="A3" s="131" t="s">
        <v>324</v>
      </c>
    </row>
    <row r="4" ht="15.75">
      <c r="A4" s="131"/>
    </row>
    <row r="5" ht="15.75">
      <c r="A5" s="131" t="s">
        <v>263</v>
      </c>
    </row>
    <row r="6" spans="2:7" ht="12.75">
      <c r="B6" s="1" t="s">
        <v>338</v>
      </c>
      <c r="C6" s="1" t="s">
        <v>264</v>
      </c>
      <c r="D6" s="1">
        <v>175</v>
      </c>
      <c r="E6" s="1" t="s">
        <v>265</v>
      </c>
      <c r="F6" s="1" t="s">
        <v>269</v>
      </c>
      <c r="G6" s="1" t="s">
        <v>343</v>
      </c>
    </row>
    <row r="7" spans="2:8" ht="12.75">
      <c r="B7" s="1" t="s">
        <v>339</v>
      </c>
      <c r="C7" s="1" t="s">
        <v>267</v>
      </c>
      <c r="D7" s="1" t="s">
        <v>266</v>
      </c>
      <c r="E7" s="1" t="s">
        <v>268</v>
      </c>
      <c r="F7" s="1" t="s">
        <v>342</v>
      </c>
      <c r="G7" s="1" t="s">
        <v>209</v>
      </c>
      <c r="H7" s="1" t="s">
        <v>270</v>
      </c>
    </row>
    <row r="8" spans="2:8" ht="12.75">
      <c r="B8" s="1" t="s">
        <v>271</v>
      </c>
      <c r="C8" s="1" t="s">
        <v>271</v>
      </c>
      <c r="D8" s="1" t="s">
        <v>271</v>
      </c>
      <c r="E8" s="1" t="s">
        <v>271</v>
      </c>
      <c r="F8" s="1" t="s">
        <v>271</v>
      </c>
      <c r="G8" s="1" t="s">
        <v>271</v>
      </c>
      <c r="H8" s="1" t="s">
        <v>271</v>
      </c>
    </row>
    <row r="9" spans="1:8" ht="12.75">
      <c r="A9" t="s">
        <v>395</v>
      </c>
      <c r="B9" s="133" t="s">
        <v>272</v>
      </c>
      <c r="C9" s="133" t="s">
        <v>272</v>
      </c>
      <c r="D9" s="133" t="s">
        <v>272</v>
      </c>
      <c r="E9" s="133" t="s">
        <v>272</v>
      </c>
      <c r="F9" s="133" t="s">
        <v>272</v>
      </c>
      <c r="G9" s="133" t="s">
        <v>272</v>
      </c>
      <c r="H9" s="133" t="s">
        <v>272</v>
      </c>
    </row>
    <row r="11" ht="12.75">
      <c r="A11" t="s">
        <v>396</v>
      </c>
    </row>
    <row r="12" spans="1:8" ht="12.75">
      <c r="A12" t="s">
        <v>273</v>
      </c>
      <c r="B12" s="146">
        <f>+DeprAD!C13</f>
        <v>48352</v>
      </c>
      <c r="C12" s="146"/>
      <c r="D12" s="146"/>
      <c r="E12" s="146"/>
      <c r="F12" s="146"/>
      <c r="G12" s="146"/>
      <c r="H12" s="146">
        <f>SUM(B12:G12)</f>
        <v>48352</v>
      </c>
    </row>
    <row r="13" spans="1:8" ht="12.75">
      <c r="A13" t="s">
        <v>274</v>
      </c>
      <c r="B13" s="132">
        <f>+DeprAD!C14+DeprAD!C15</f>
        <v>487841</v>
      </c>
      <c r="C13" s="132"/>
      <c r="D13" s="132">
        <f>+DeprAD!C29</f>
        <v>21950</v>
      </c>
      <c r="E13" s="132"/>
      <c r="F13" s="132">
        <f>+DeprAD!C46</f>
        <v>50000</v>
      </c>
      <c r="G13" s="132"/>
      <c r="H13" s="147">
        <f>SUM(B13:G13)</f>
        <v>559791</v>
      </c>
    </row>
    <row r="14" spans="1:8" ht="12.75">
      <c r="A14" t="s">
        <v>275</v>
      </c>
      <c r="B14" s="132"/>
      <c r="C14" s="132">
        <f>+DeprAD!C20</f>
        <v>114528</v>
      </c>
      <c r="D14" s="132"/>
      <c r="E14" s="132">
        <f>+DeprAD!C38</f>
        <v>7844</v>
      </c>
      <c r="F14" s="132"/>
      <c r="G14" s="132"/>
      <c r="H14" s="147">
        <f aca="true" t="shared" si="0" ref="H14:H23">SUM(B14:G14)</f>
        <v>122372</v>
      </c>
    </row>
    <row r="15" spans="1:8" ht="12.75">
      <c r="A15" t="s">
        <v>276</v>
      </c>
      <c r="B15" s="132"/>
      <c r="C15" s="132">
        <f>+DeprAD!C21</f>
        <v>20249</v>
      </c>
      <c r="D15" s="132">
        <f>+DeprAD!C30</f>
        <v>5459</v>
      </c>
      <c r="E15" s="132">
        <f>+DeprAD!C39</f>
        <v>1539</v>
      </c>
      <c r="F15" s="132"/>
      <c r="G15" s="132"/>
      <c r="H15" s="147">
        <f t="shared" si="0"/>
        <v>27247</v>
      </c>
    </row>
    <row r="16" spans="1:8" ht="12.75">
      <c r="A16" t="s">
        <v>277</v>
      </c>
      <c r="B16" s="132"/>
      <c r="C16" s="132">
        <f>+DeprAD!C22</f>
        <v>14615</v>
      </c>
      <c r="D16" s="132">
        <f>+DeprAD!C31</f>
        <v>15656</v>
      </c>
      <c r="E16" s="132"/>
      <c r="F16" s="132"/>
      <c r="G16" s="132"/>
      <c r="H16" s="147">
        <f t="shared" si="0"/>
        <v>30271</v>
      </c>
    </row>
    <row r="17" spans="1:8" ht="12.75">
      <c r="A17" t="s">
        <v>278</v>
      </c>
      <c r="B17" s="185">
        <f>+DeprAD!C16</f>
        <v>213807</v>
      </c>
      <c r="C17" s="132">
        <f>+DeprAD!C23</f>
        <v>1331</v>
      </c>
      <c r="D17" s="185">
        <f>+DeprAD!C32</f>
        <v>124142</v>
      </c>
      <c r="E17" s="132">
        <f>+DeprAD!C40</f>
        <v>294</v>
      </c>
      <c r="F17" s="185">
        <f>+DeprAD!C47</f>
        <v>40000</v>
      </c>
      <c r="G17" s="185"/>
      <c r="H17" s="147">
        <f t="shared" si="0"/>
        <v>379574</v>
      </c>
    </row>
    <row r="18" spans="1:8" ht="12.75">
      <c r="A18" t="s">
        <v>340</v>
      </c>
      <c r="B18" s="140"/>
      <c r="C18" s="132"/>
      <c r="D18" s="140"/>
      <c r="E18" s="132">
        <f>+DeprAD!C41</f>
        <v>385</v>
      </c>
      <c r="F18" s="140"/>
      <c r="G18" s="140"/>
      <c r="H18" s="147">
        <f t="shared" si="0"/>
        <v>385</v>
      </c>
    </row>
    <row r="19" spans="1:8" ht="12.75">
      <c r="A19" t="s">
        <v>341</v>
      </c>
      <c r="B19" s="140"/>
      <c r="C19" s="185">
        <f>+DeprAD!C24</f>
        <v>740</v>
      </c>
      <c r="D19" s="185">
        <f>+DeprAD!C33</f>
        <v>175</v>
      </c>
      <c r="E19" s="185">
        <f>+DeprAD!C42</f>
        <v>333</v>
      </c>
      <c r="F19" s="140"/>
      <c r="G19" s="140"/>
      <c r="H19" s="147">
        <f t="shared" si="0"/>
        <v>1248</v>
      </c>
    </row>
    <row r="20" spans="1:8" ht="12.75">
      <c r="A20" t="s">
        <v>344</v>
      </c>
      <c r="B20" s="140"/>
      <c r="C20" s="140"/>
      <c r="D20" s="140"/>
      <c r="E20" s="140"/>
      <c r="F20" s="140"/>
      <c r="G20" s="185">
        <f>+DeprAD!C51</f>
        <v>57648</v>
      </c>
      <c r="H20" s="147">
        <f t="shared" si="0"/>
        <v>57648</v>
      </c>
    </row>
    <row r="21" spans="1:8" ht="12.75">
      <c r="A21" t="s">
        <v>345</v>
      </c>
      <c r="B21" s="140"/>
      <c r="C21" s="140"/>
      <c r="D21" s="140"/>
      <c r="E21" s="140"/>
      <c r="F21" s="140"/>
      <c r="G21" s="185">
        <f>+DeprAD!C52</f>
        <v>3100</v>
      </c>
      <c r="H21" s="190">
        <f t="shared" si="0"/>
        <v>3100</v>
      </c>
    </row>
    <row r="22" spans="1:8" ht="12.75">
      <c r="A22" t="s">
        <v>355</v>
      </c>
      <c r="B22" s="140"/>
      <c r="C22" s="140"/>
      <c r="D22" s="140"/>
      <c r="E22" s="140"/>
      <c r="F22" s="140"/>
      <c r="G22" s="185">
        <f>+DeprAD!C53</f>
        <v>13729</v>
      </c>
      <c r="H22" s="190">
        <f t="shared" si="0"/>
        <v>13729</v>
      </c>
    </row>
    <row r="23" spans="1:8" ht="12.75">
      <c r="A23" t="s">
        <v>356</v>
      </c>
      <c r="B23" s="140"/>
      <c r="C23" s="140">
        <f>+DeprAD!C25</f>
        <v>501</v>
      </c>
      <c r="D23" s="140">
        <f>+DeprAD!C34</f>
        <v>212</v>
      </c>
      <c r="E23" s="140"/>
      <c r="F23" s="140"/>
      <c r="G23" s="140"/>
      <c r="H23" s="148">
        <f t="shared" si="0"/>
        <v>713</v>
      </c>
    </row>
    <row r="24" spans="1:8" ht="12.75">
      <c r="A24" t="s">
        <v>279</v>
      </c>
      <c r="B24" s="146">
        <f>SUM(B12:B23)</f>
        <v>750000</v>
      </c>
      <c r="C24" s="146">
        <f aca="true" t="shared" si="1" ref="C24:H24">SUM(C12:C23)</f>
        <v>151964</v>
      </c>
      <c r="D24" s="146">
        <f t="shared" si="1"/>
        <v>167594</v>
      </c>
      <c r="E24" s="146">
        <f t="shared" si="1"/>
        <v>10395</v>
      </c>
      <c r="F24" s="146">
        <f t="shared" si="1"/>
        <v>90000</v>
      </c>
      <c r="G24" s="146">
        <f t="shared" si="1"/>
        <v>74477</v>
      </c>
      <c r="H24" s="146">
        <f t="shared" si="1"/>
        <v>1244430</v>
      </c>
    </row>
    <row r="25" spans="1:8" ht="12.75">
      <c r="A25" t="s">
        <v>280</v>
      </c>
      <c r="B25" s="140">
        <f>+DeprAD!F17</f>
        <v>10504.3525</v>
      </c>
      <c r="C25" s="140">
        <f>+DeprAD!F26</f>
        <v>3271.195</v>
      </c>
      <c r="D25" s="140">
        <f>+DeprAD!F35</f>
        <v>3822.6400000000003</v>
      </c>
      <c r="E25" s="140">
        <f>+DeprAD!F43</f>
        <v>229.5883333333333</v>
      </c>
      <c r="F25" s="140">
        <f>+DeprAD!F48</f>
        <v>1425</v>
      </c>
      <c r="G25" s="140">
        <f>+DeprAD!F54</f>
        <v>6606.25</v>
      </c>
      <c r="H25" s="140">
        <f>SUM(B25:G25)</f>
        <v>25859.025833333333</v>
      </c>
    </row>
    <row r="26" spans="1:8" ht="12.75">
      <c r="A26" t="s">
        <v>12</v>
      </c>
      <c r="B26" s="142">
        <f>+B24-B25</f>
        <v>739495.6475</v>
      </c>
      <c r="C26" s="142">
        <f aca="true" t="shared" si="2" ref="C26:H26">+C24-C25</f>
        <v>148692.805</v>
      </c>
      <c r="D26" s="142">
        <f t="shared" si="2"/>
        <v>163771.36</v>
      </c>
      <c r="E26" s="142">
        <f t="shared" si="2"/>
        <v>10165.411666666667</v>
      </c>
      <c r="F26" s="142">
        <f t="shared" si="2"/>
        <v>88575</v>
      </c>
      <c r="G26" s="142">
        <f t="shared" si="2"/>
        <v>67870.75</v>
      </c>
      <c r="H26" s="142">
        <f t="shared" si="2"/>
        <v>1218570.9741666666</v>
      </c>
    </row>
    <row r="28" spans="1:8" ht="12.75">
      <c r="A28" t="s">
        <v>281</v>
      </c>
      <c r="B28" s="132"/>
      <c r="C28" s="132"/>
      <c r="D28" s="132"/>
      <c r="E28" s="132"/>
      <c r="F28" s="132"/>
      <c r="G28" s="132"/>
      <c r="H28" s="132"/>
    </row>
    <row r="29" spans="1:8" ht="12.75">
      <c r="A29" t="s">
        <v>274</v>
      </c>
      <c r="B29" s="144">
        <f>+AmortAA!C13+AmortAA!C14</f>
        <v>210000</v>
      </c>
      <c r="C29" s="144"/>
      <c r="D29" s="144"/>
      <c r="E29" s="144"/>
      <c r="F29" s="144"/>
      <c r="G29" s="144"/>
      <c r="H29" s="144">
        <f>SUM(B29:G29)</f>
        <v>210000</v>
      </c>
    </row>
    <row r="30" spans="1:8" ht="12.75">
      <c r="A30" t="s">
        <v>278</v>
      </c>
      <c r="B30" s="140">
        <f>+AmortAA!C15</f>
        <v>90000</v>
      </c>
      <c r="C30" s="140"/>
      <c r="D30" s="194"/>
      <c r="E30" s="140"/>
      <c r="F30" s="140"/>
      <c r="G30" s="140"/>
      <c r="H30" s="148">
        <f>SUM(B30:G30)</f>
        <v>90000</v>
      </c>
    </row>
    <row r="31" spans="1:8" ht="12.75">
      <c r="A31" t="s">
        <v>279</v>
      </c>
      <c r="B31" s="138">
        <f>SUM(B29:B30)</f>
        <v>300000</v>
      </c>
      <c r="C31" s="144"/>
      <c r="D31" s="202"/>
      <c r="E31" s="144"/>
      <c r="F31" s="144"/>
      <c r="G31" s="144"/>
      <c r="H31" s="144">
        <f>SUM(H29:H30)</f>
        <v>300000</v>
      </c>
    </row>
    <row r="32" spans="1:8" ht="12.75">
      <c r="A32" t="s">
        <v>282</v>
      </c>
      <c r="B32" s="185">
        <f>+AmortAA!F16</f>
        <v>4429.1625</v>
      </c>
      <c r="C32" s="140"/>
      <c r="D32" s="185"/>
      <c r="E32" s="140"/>
      <c r="F32" s="140"/>
      <c r="G32" s="140"/>
      <c r="H32" s="148">
        <f>SUM(B32:G32)</f>
        <v>4429.1625</v>
      </c>
    </row>
    <row r="33" spans="1:8" ht="12.75">
      <c r="A33" t="s">
        <v>283</v>
      </c>
      <c r="B33" s="140">
        <f>+B31-B32</f>
        <v>295570.8375</v>
      </c>
      <c r="C33" s="140"/>
      <c r="D33" s="140"/>
      <c r="E33" s="140"/>
      <c r="F33" s="140"/>
      <c r="G33" s="140"/>
      <c r="H33" s="140">
        <f>+H31-H32</f>
        <v>295570.8375</v>
      </c>
    </row>
    <row r="34" spans="2:8" ht="12.75">
      <c r="B34" s="132"/>
      <c r="C34" s="132"/>
      <c r="D34" s="132"/>
      <c r="E34" s="132"/>
      <c r="F34" s="132"/>
      <c r="G34" s="132"/>
      <c r="H34" s="132"/>
    </row>
    <row r="35" spans="1:8" ht="12.75">
      <c r="A35" t="s">
        <v>284</v>
      </c>
      <c r="B35" s="140">
        <f aca="true" t="shared" si="3" ref="B35:G35">+B43*0.2055</f>
        <v>0</v>
      </c>
      <c r="C35" s="140">
        <f t="shared" si="3"/>
        <v>0</v>
      </c>
      <c r="D35" s="140">
        <f t="shared" si="3"/>
        <v>0</v>
      </c>
      <c r="E35" s="140">
        <f t="shared" si="3"/>
        <v>0</v>
      </c>
      <c r="F35" s="140">
        <f t="shared" si="3"/>
        <v>0</v>
      </c>
      <c r="G35" s="140">
        <f t="shared" si="3"/>
        <v>0</v>
      </c>
      <c r="H35" s="148">
        <f>SUM(B35:G35)</f>
        <v>0</v>
      </c>
    </row>
    <row r="37" spans="1:8" ht="12.75">
      <c r="A37" t="s">
        <v>285</v>
      </c>
      <c r="B37" s="146">
        <f aca="true" t="shared" si="4" ref="B37:H37">+B26-B33+B35</f>
        <v>443924.80999999994</v>
      </c>
      <c r="C37" s="146">
        <f t="shared" si="4"/>
        <v>148692.805</v>
      </c>
      <c r="D37" s="146">
        <f t="shared" si="4"/>
        <v>163771.36</v>
      </c>
      <c r="E37" s="146">
        <f t="shared" si="4"/>
        <v>10165.411666666667</v>
      </c>
      <c r="F37" s="146">
        <f t="shared" si="4"/>
        <v>88575</v>
      </c>
      <c r="G37" s="146">
        <f t="shared" si="4"/>
        <v>67870.75</v>
      </c>
      <c r="H37" s="146">
        <f t="shared" si="4"/>
        <v>923000.1366666666</v>
      </c>
    </row>
    <row r="39" spans="1:8" ht="12.75">
      <c r="A39" t="s">
        <v>286</v>
      </c>
      <c r="B39" s="141">
        <v>0.0975</v>
      </c>
      <c r="C39" s="141">
        <v>0.0975</v>
      </c>
      <c r="D39" s="141">
        <v>0.0975</v>
      </c>
      <c r="E39" s="141">
        <v>0.0975</v>
      </c>
      <c r="F39" s="141">
        <v>0.0975</v>
      </c>
      <c r="G39" s="141">
        <v>0.0975</v>
      </c>
      <c r="H39" s="141">
        <v>0.0975</v>
      </c>
    </row>
    <row r="41" spans="1:8" ht="12.75">
      <c r="A41" t="s">
        <v>287</v>
      </c>
      <c r="B41" s="142">
        <f aca="true" t="shared" si="5" ref="B41:H41">+B37*B39</f>
        <v>43282.66897499999</v>
      </c>
      <c r="C41" s="142">
        <f>+C37*C39</f>
        <v>14497.5484875</v>
      </c>
      <c r="D41" s="142">
        <f t="shared" si="5"/>
        <v>15967.7076</v>
      </c>
      <c r="E41" s="142">
        <f t="shared" si="5"/>
        <v>991.1276375000001</v>
      </c>
      <c r="F41" s="142">
        <f t="shared" si="5"/>
        <v>8636.0625</v>
      </c>
      <c r="G41" s="142">
        <f>+G37*G39</f>
        <v>6617.398125000001</v>
      </c>
      <c r="H41" s="142">
        <f t="shared" si="5"/>
        <v>89992.51332499999</v>
      </c>
    </row>
    <row r="43" spans="1:8" ht="12.75">
      <c r="A43" t="s">
        <v>288</v>
      </c>
      <c r="B43" s="132"/>
      <c r="C43" s="132"/>
      <c r="D43" s="132"/>
      <c r="E43" s="132"/>
      <c r="F43" s="132"/>
      <c r="G43" s="132"/>
      <c r="H43" s="132">
        <v>5000</v>
      </c>
    </row>
    <row r="44" spans="1:8" ht="12.75">
      <c r="A44" t="s">
        <v>289</v>
      </c>
      <c r="B44" s="132"/>
      <c r="C44" s="132"/>
      <c r="D44" s="132"/>
      <c r="E44" s="132"/>
      <c r="F44" s="132"/>
      <c r="G44" s="132"/>
      <c r="H44" s="132">
        <f>+DeprAD!E56</f>
        <v>51718.051666666666</v>
      </c>
    </row>
    <row r="45" spans="1:8" ht="12.75">
      <c r="A45" t="s">
        <v>290</v>
      </c>
      <c r="B45" s="134"/>
      <c r="C45" s="134"/>
      <c r="D45" s="134"/>
      <c r="E45" s="134"/>
      <c r="F45" s="134"/>
      <c r="G45" s="134"/>
      <c r="H45" s="134">
        <f>-AmortAA!E16</f>
        <v>-8858.325</v>
      </c>
    </row>
    <row r="46" spans="1:8" ht="12.75">
      <c r="A46" t="s">
        <v>291</v>
      </c>
      <c r="B46" s="132"/>
      <c r="C46" s="132"/>
      <c r="D46" s="132"/>
      <c r="E46" s="132"/>
      <c r="F46" s="132"/>
      <c r="G46" s="132"/>
      <c r="H46" s="132">
        <f>+Taxes!H15</f>
        <v>5227.669479175001</v>
      </c>
    </row>
    <row r="47" spans="1:8" ht="12.75">
      <c r="A47" t="s">
        <v>292</v>
      </c>
      <c r="B47" s="132"/>
      <c r="C47" s="132"/>
      <c r="D47" s="132"/>
      <c r="E47" s="132"/>
      <c r="F47" s="132"/>
      <c r="G47" s="132"/>
      <c r="H47" s="132">
        <f>+Taxes!H25</f>
        <v>11881.066998125001</v>
      </c>
    </row>
    <row r="48" spans="1:8" ht="12.75">
      <c r="A48" t="s">
        <v>385</v>
      </c>
      <c r="B48" s="132"/>
      <c r="C48" s="132"/>
      <c r="D48" s="132"/>
      <c r="E48" s="132"/>
      <c r="F48" s="132"/>
      <c r="G48" s="132"/>
      <c r="H48" s="132">
        <v>10369</v>
      </c>
    </row>
    <row r="49" spans="1:8" ht="12.75">
      <c r="A49" t="s">
        <v>384</v>
      </c>
      <c r="B49" s="140"/>
      <c r="C49" s="140"/>
      <c r="D49" s="140"/>
      <c r="E49" s="140"/>
      <c r="F49" s="140"/>
      <c r="G49" s="140"/>
      <c r="H49" s="140">
        <v>16743</v>
      </c>
    </row>
    <row r="50" spans="1:8" ht="12.75">
      <c r="A50" t="s">
        <v>293</v>
      </c>
      <c r="B50" s="140"/>
      <c r="C50" s="140"/>
      <c r="D50" s="140"/>
      <c r="E50" s="140"/>
      <c r="F50" s="140"/>
      <c r="G50" s="140"/>
      <c r="H50" s="140">
        <f>SUM(H43:H49)</f>
        <v>92080.46314396667</v>
      </c>
    </row>
    <row r="52" spans="1:8" ht="12.75">
      <c r="A52" t="s">
        <v>294</v>
      </c>
      <c r="B52" s="146"/>
      <c r="C52" s="146"/>
      <c r="D52" s="146"/>
      <c r="E52" s="146"/>
      <c r="F52" s="146"/>
      <c r="G52" s="146"/>
      <c r="H52" s="146">
        <f>+H41+H50</f>
        <v>182072.97646896666</v>
      </c>
    </row>
    <row r="54" spans="1:8" ht="12.75">
      <c r="A54" t="s">
        <v>392</v>
      </c>
      <c r="B54" s="140"/>
      <c r="C54" s="140"/>
      <c r="D54" s="140"/>
      <c r="E54" s="140"/>
      <c r="F54" s="140"/>
      <c r="G54" s="140"/>
      <c r="H54" s="140">
        <v>789830</v>
      </c>
    </row>
    <row r="56" spans="1:8" ht="12.75">
      <c r="A56" t="s">
        <v>295</v>
      </c>
      <c r="B56" s="142"/>
      <c r="C56" s="142"/>
      <c r="D56" s="142"/>
      <c r="E56" s="142"/>
      <c r="F56" s="142"/>
      <c r="G56" s="142"/>
      <c r="H56" s="142">
        <f>SUM(H52:H54)</f>
        <v>971902.9764689667</v>
      </c>
    </row>
    <row r="58" spans="1:8" ht="12.75">
      <c r="A58" t="s">
        <v>296</v>
      </c>
      <c r="B58" s="141"/>
      <c r="C58" s="141"/>
      <c r="D58" s="141"/>
      <c r="E58" s="141"/>
      <c r="F58" s="141"/>
      <c r="G58" s="141"/>
      <c r="H58" s="141">
        <f>+H52/H54</f>
        <v>0.23052172805409601</v>
      </c>
    </row>
    <row r="60" ht="12.75">
      <c r="A60" t="s">
        <v>238</v>
      </c>
    </row>
    <row r="61" ht="12.75">
      <c r="A61" s="136">
        <f>+BSAssets!A62</f>
        <v>39582</v>
      </c>
    </row>
  </sheetData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workbookViewId="0" topLeftCell="A40">
      <selection activeCell="B52" sqref="B52"/>
    </sheetView>
  </sheetViews>
  <sheetFormatPr defaultColWidth="9.140625" defaultRowHeight="12.75"/>
  <cols>
    <col min="1" max="1" width="10.7109375" style="0" customWidth="1"/>
    <col min="2" max="2" width="36.7109375" style="0" customWidth="1"/>
    <col min="3" max="3" width="10.7109375" style="0" customWidth="1"/>
    <col min="5" max="6" width="10.7109375" style="0" customWidth="1"/>
  </cols>
  <sheetData>
    <row r="1" spans="1:6" ht="20.25">
      <c r="A1" s="183" t="s">
        <v>239</v>
      </c>
      <c r="B1" s="4"/>
      <c r="C1" s="4"/>
      <c r="D1" s="4"/>
      <c r="E1" s="4"/>
      <c r="F1" s="5" t="s">
        <v>326</v>
      </c>
    </row>
    <row r="3" spans="1:2" ht="15.75">
      <c r="A3" s="131" t="s">
        <v>198</v>
      </c>
      <c r="B3" s="182"/>
    </row>
    <row r="4" spans="1:2" ht="15.75">
      <c r="A4" s="131"/>
      <c r="B4" s="182"/>
    </row>
    <row r="5" spans="1:2" ht="15.75">
      <c r="A5" s="131" t="s">
        <v>209</v>
      </c>
      <c r="B5" s="182"/>
    </row>
    <row r="6" spans="1:2" ht="15.75">
      <c r="A6" s="131"/>
      <c r="B6" s="182"/>
    </row>
    <row r="7" spans="1:2" ht="15.75">
      <c r="A7" s="131" t="s">
        <v>261</v>
      </c>
      <c r="B7" s="182"/>
    </row>
    <row r="10" spans="1:6" ht="12.75">
      <c r="A10" s="1" t="s">
        <v>241</v>
      </c>
      <c r="C10" s="1"/>
      <c r="D10" s="1" t="s">
        <v>262</v>
      </c>
      <c r="E10" s="1" t="s">
        <v>243</v>
      </c>
      <c r="F10" s="1" t="s">
        <v>244</v>
      </c>
    </row>
    <row r="11" spans="1:6" ht="12.75">
      <c r="A11" s="133" t="s">
        <v>245</v>
      </c>
      <c r="B11" s="137" t="s">
        <v>246</v>
      </c>
      <c r="C11" s="133" t="s">
        <v>247</v>
      </c>
      <c r="D11" s="133" t="s">
        <v>248</v>
      </c>
      <c r="E11" s="133" t="s">
        <v>249</v>
      </c>
      <c r="F11" s="133" t="s">
        <v>262</v>
      </c>
    </row>
    <row r="12" spans="1:6" ht="12.75">
      <c r="A12" s="137"/>
      <c r="B12" s="137" t="s">
        <v>329</v>
      </c>
      <c r="C12" s="133"/>
      <c r="D12" s="133"/>
      <c r="E12" s="133"/>
      <c r="F12" s="133"/>
    </row>
    <row r="13" spans="1:6" ht="12.75">
      <c r="A13" s="189">
        <v>303</v>
      </c>
      <c r="B13" s="145" t="s">
        <v>350</v>
      </c>
      <c r="C13" s="187">
        <v>48352</v>
      </c>
      <c r="D13" s="188">
        <v>0</v>
      </c>
      <c r="E13" s="187">
        <v>0</v>
      </c>
      <c r="F13" s="187">
        <v>0</v>
      </c>
    </row>
    <row r="14" spans="1:6" ht="12.75">
      <c r="A14" s="1">
        <v>304</v>
      </c>
      <c r="B14" t="s">
        <v>351</v>
      </c>
      <c r="C14" s="185">
        <v>470481</v>
      </c>
      <c r="D14" s="139">
        <v>0.025</v>
      </c>
      <c r="E14" s="185">
        <f>+C14*D14</f>
        <v>11762.025000000001</v>
      </c>
      <c r="F14" s="185">
        <f>+E14/2</f>
        <v>5881.012500000001</v>
      </c>
    </row>
    <row r="15" spans="1:6" ht="12.75">
      <c r="A15" s="1">
        <v>304</v>
      </c>
      <c r="B15" t="s">
        <v>352</v>
      </c>
      <c r="C15" s="185">
        <v>17360</v>
      </c>
      <c r="D15" s="139">
        <v>0.04</v>
      </c>
      <c r="E15" s="185">
        <f>+C15*D15</f>
        <v>694.4</v>
      </c>
      <c r="F15" s="185">
        <f>+E15/2</f>
        <v>347.2</v>
      </c>
    </row>
    <row r="16" spans="1:6" ht="12.75">
      <c r="A16" s="1">
        <v>331</v>
      </c>
      <c r="B16" t="s">
        <v>252</v>
      </c>
      <c r="C16" s="140">
        <v>213807</v>
      </c>
      <c r="D16" s="139">
        <v>0.04</v>
      </c>
      <c r="E16" s="140">
        <f>+C16*D16</f>
        <v>8552.28</v>
      </c>
      <c r="F16" s="140">
        <f>+E16/2</f>
        <v>4276.14</v>
      </c>
    </row>
    <row r="17" spans="1:6" ht="12.75">
      <c r="A17" s="1"/>
      <c r="B17" t="s">
        <v>253</v>
      </c>
      <c r="C17" s="142">
        <f>SUM(C13:C16)</f>
        <v>750000</v>
      </c>
      <c r="D17" s="137"/>
      <c r="E17" s="142">
        <f>SUM(E13:E16)</f>
        <v>21008.705</v>
      </c>
      <c r="F17" s="142">
        <f>SUM(F13:F16)</f>
        <v>10504.3525</v>
      </c>
    </row>
    <row r="18" ht="12.75">
      <c r="A18" s="1"/>
    </row>
    <row r="19" spans="1:6" ht="12.75">
      <c r="A19" s="133"/>
      <c r="B19" s="137" t="s">
        <v>257</v>
      </c>
      <c r="C19" s="133"/>
      <c r="D19" s="133"/>
      <c r="E19" s="133"/>
      <c r="F19" s="133"/>
    </row>
    <row r="20" spans="1:6" ht="12.75">
      <c r="A20" s="1">
        <v>307</v>
      </c>
      <c r="B20" s="145" t="s">
        <v>258</v>
      </c>
      <c r="C20" s="138">
        <v>114528</v>
      </c>
      <c r="D20" s="139">
        <v>0.03333333333333333</v>
      </c>
      <c r="E20" s="138">
        <f aca="true" t="shared" si="0" ref="E20:E25">+C20*D20</f>
        <v>3817.6</v>
      </c>
      <c r="F20" s="138">
        <f aca="true" t="shared" si="1" ref="F20:F25">+E20/2</f>
        <v>1908.8</v>
      </c>
    </row>
    <row r="21" spans="1:6" ht="12.75">
      <c r="A21" s="1">
        <v>311</v>
      </c>
      <c r="B21" s="145" t="s">
        <v>330</v>
      </c>
      <c r="C21" s="185">
        <v>20249</v>
      </c>
      <c r="D21" s="139">
        <v>0.1</v>
      </c>
      <c r="E21" s="132">
        <f t="shared" si="0"/>
        <v>2024.9</v>
      </c>
      <c r="F21" s="132">
        <f t="shared" si="1"/>
        <v>1012.45</v>
      </c>
    </row>
    <row r="22" spans="1:6" ht="12.75">
      <c r="A22" s="1">
        <v>331</v>
      </c>
      <c r="B22" s="145" t="s">
        <v>252</v>
      </c>
      <c r="C22" s="185">
        <v>14615</v>
      </c>
      <c r="D22" s="184">
        <v>0.04</v>
      </c>
      <c r="E22" s="185">
        <f t="shared" si="0"/>
        <v>584.6</v>
      </c>
      <c r="F22" s="185">
        <f t="shared" si="1"/>
        <v>292.3</v>
      </c>
    </row>
    <row r="23" spans="1:6" ht="12.75">
      <c r="A23" s="1">
        <v>333</v>
      </c>
      <c r="B23" s="145" t="s">
        <v>331</v>
      </c>
      <c r="C23" s="185">
        <v>1331</v>
      </c>
      <c r="D23" s="184">
        <v>0.04</v>
      </c>
      <c r="E23" s="185">
        <f t="shared" si="0"/>
        <v>53.24</v>
      </c>
      <c r="F23" s="185">
        <f t="shared" si="1"/>
        <v>26.62</v>
      </c>
    </row>
    <row r="24" spans="1:6" ht="12.75">
      <c r="A24" s="1">
        <v>334</v>
      </c>
      <c r="B24" s="145" t="s">
        <v>332</v>
      </c>
      <c r="C24" s="185">
        <v>740</v>
      </c>
      <c r="D24" s="184">
        <v>0.05</v>
      </c>
      <c r="E24" s="185">
        <f t="shared" si="0"/>
        <v>37</v>
      </c>
      <c r="F24" s="185">
        <f t="shared" si="1"/>
        <v>18.5</v>
      </c>
    </row>
    <row r="25" spans="1:6" ht="12.75">
      <c r="A25" s="1">
        <v>339</v>
      </c>
      <c r="B25" s="145" t="s">
        <v>353</v>
      </c>
      <c r="C25" s="140">
        <v>501</v>
      </c>
      <c r="D25" s="184">
        <v>0.05</v>
      </c>
      <c r="E25" s="140">
        <f t="shared" si="0"/>
        <v>25.05</v>
      </c>
      <c r="F25" s="140">
        <f t="shared" si="1"/>
        <v>12.525</v>
      </c>
    </row>
    <row r="26" spans="1:6" ht="12.75">
      <c r="A26" s="1"/>
      <c r="B26" t="s">
        <v>253</v>
      </c>
      <c r="C26" s="142">
        <f>SUM(C20:C25)</f>
        <v>151964</v>
      </c>
      <c r="D26" s="137"/>
      <c r="E26" s="142">
        <f>SUM(E20:E25)</f>
        <v>6542.39</v>
      </c>
      <c r="F26" s="142">
        <f>SUM(F20:F25)</f>
        <v>3271.195</v>
      </c>
    </row>
    <row r="27" ht="12.75">
      <c r="A27" s="1"/>
    </row>
    <row r="28" spans="1:6" ht="12.75">
      <c r="A28" s="133"/>
      <c r="B28" s="137" t="s">
        <v>254</v>
      </c>
      <c r="C28" s="133"/>
      <c r="D28" s="133"/>
      <c r="E28" s="133"/>
      <c r="F28" s="133"/>
    </row>
    <row r="29" spans="1:6" ht="12.75">
      <c r="A29" s="1">
        <v>304</v>
      </c>
      <c r="B29" t="s">
        <v>251</v>
      </c>
      <c r="C29" s="144">
        <v>21950</v>
      </c>
      <c r="D29" s="139">
        <v>0.025</v>
      </c>
      <c r="E29" s="144">
        <f aca="true" t="shared" si="2" ref="E29:E34">+C29*D29</f>
        <v>548.75</v>
      </c>
      <c r="F29" s="144">
        <f aca="true" t="shared" si="3" ref="F29:F34">+E29/2</f>
        <v>274.375</v>
      </c>
    </row>
    <row r="30" spans="1:6" ht="12.75">
      <c r="A30" s="1">
        <v>311</v>
      </c>
      <c r="B30" t="s">
        <v>255</v>
      </c>
      <c r="C30" s="132">
        <v>5459</v>
      </c>
      <c r="D30" s="139">
        <v>0.1</v>
      </c>
      <c r="E30" s="132">
        <f t="shared" si="2"/>
        <v>545.9</v>
      </c>
      <c r="F30" s="132">
        <f t="shared" si="3"/>
        <v>272.95</v>
      </c>
    </row>
    <row r="31" spans="1:6" ht="12.75">
      <c r="A31" s="1">
        <v>320</v>
      </c>
      <c r="B31" t="s">
        <v>256</v>
      </c>
      <c r="C31" s="132">
        <v>15656</v>
      </c>
      <c r="D31" s="139">
        <v>0.1</v>
      </c>
      <c r="E31" s="132">
        <f t="shared" si="2"/>
        <v>1565.6000000000001</v>
      </c>
      <c r="F31" s="132">
        <f t="shared" si="3"/>
        <v>782.8000000000001</v>
      </c>
    </row>
    <row r="32" spans="1:6" ht="12.75">
      <c r="A32" s="1">
        <v>331</v>
      </c>
      <c r="B32" t="s">
        <v>252</v>
      </c>
      <c r="C32" s="185">
        <v>124142</v>
      </c>
      <c r="D32" s="184">
        <v>0.04</v>
      </c>
      <c r="E32" s="185">
        <f t="shared" si="2"/>
        <v>4965.68</v>
      </c>
      <c r="F32" s="185">
        <f t="shared" si="3"/>
        <v>2482.84</v>
      </c>
    </row>
    <row r="33" spans="1:6" ht="12.75">
      <c r="A33" s="1">
        <v>334</v>
      </c>
      <c r="B33" s="145" t="s">
        <v>332</v>
      </c>
      <c r="C33" s="185">
        <v>175</v>
      </c>
      <c r="D33" s="184">
        <v>0.05</v>
      </c>
      <c r="E33" s="185">
        <f t="shared" si="2"/>
        <v>8.75</v>
      </c>
      <c r="F33" s="185">
        <f t="shared" si="3"/>
        <v>4.375</v>
      </c>
    </row>
    <row r="34" spans="1:6" ht="12.75">
      <c r="A34" s="1">
        <v>339</v>
      </c>
      <c r="B34" s="145" t="s">
        <v>353</v>
      </c>
      <c r="C34" s="140">
        <v>212</v>
      </c>
      <c r="D34" s="184">
        <v>0.05</v>
      </c>
      <c r="E34" s="140">
        <f t="shared" si="2"/>
        <v>10.600000000000001</v>
      </c>
      <c r="F34" s="140">
        <f t="shared" si="3"/>
        <v>5.300000000000001</v>
      </c>
    </row>
    <row r="35" spans="1:6" ht="12.75">
      <c r="A35" s="1"/>
      <c r="B35" t="s">
        <v>253</v>
      </c>
      <c r="C35" s="142">
        <f>SUM(C29:C34)</f>
        <v>167594</v>
      </c>
      <c r="D35" s="137"/>
      <c r="E35" s="142">
        <f>SUM(E29:E34)</f>
        <v>7645.280000000001</v>
      </c>
      <c r="F35" s="142">
        <f>SUM(F29:F34)</f>
        <v>3822.6400000000003</v>
      </c>
    </row>
    <row r="36" spans="1:4" ht="12.75">
      <c r="A36" s="1"/>
      <c r="C36" s="132"/>
      <c r="D36" s="139"/>
    </row>
    <row r="37" spans="1:6" ht="12.75">
      <c r="A37" s="133"/>
      <c r="B37" s="137" t="s">
        <v>259</v>
      </c>
      <c r="C37" s="133"/>
      <c r="D37" s="133"/>
      <c r="E37" s="133"/>
      <c r="F37" s="133"/>
    </row>
    <row r="38" spans="1:6" ht="12.75">
      <c r="A38" s="1">
        <v>307</v>
      </c>
      <c r="B38" s="145" t="s">
        <v>258</v>
      </c>
      <c r="C38" s="138">
        <v>7844</v>
      </c>
      <c r="D38" s="139">
        <v>0.03333333333333333</v>
      </c>
      <c r="E38" s="138">
        <f>+C38*D38</f>
        <v>261.46666666666664</v>
      </c>
      <c r="F38" s="138">
        <f>+E38/2</f>
        <v>130.73333333333332</v>
      </c>
    </row>
    <row r="39" spans="1:6" ht="12.75">
      <c r="A39" s="1">
        <v>311</v>
      </c>
      <c r="B39" s="145" t="s">
        <v>330</v>
      </c>
      <c r="C39" s="185">
        <v>1539</v>
      </c>
      <c r="D39" s="139">
        <v>0.1</v>
      </c>
      <c r="E39" s="132">
        <f>+C39*D39</f>
        <v>153.9</v>
      </c>
      <c r="F39" s="132">
        <f>+E39/2</f>
        <v>76.95</v>
      </c>
    </row>
    <row r="40" spans="1:6" ht="12.75">
      <c r="A40" s="1">
        <v>331</v>
      </c>
      <c r="B40" t="s">
        <v>252</v>
      </c>
      <c r="C40" s="185">
        <v>294</v>
      </c>
      <c r="D40" s="184">
        <v>0.04</v>
      </c>
      <c r="E40" s="185">
        <f>+C40*D40</f>
        <v>11.76</v>
      </c>
      <c r="F40" s="185">
        <f>+E40/2</f>
        <v>5.88</v>
      </c>
    </row>
    <row r="41" spans="1:6" ht="12.75">
      <c r="A41" s="1">
        <v>333</v>
      </c>
      <c r="B41" t="s">
        <v>331</v>
      </c>
      <c r="C41" s="185">
        <v>385</v>
      </c>
      <c r="D41" s="184">
        <v>0.04</v>
      </c>
      <c r="E41" s="185">
        <f>+C41*D41</f>
        <v>15.4</v>
      </c>
      <c r="F41" s="185">
        <f>+E41/2</f>
        <v>7.7</v>
      </c>
    </row>
    <row r="42" spans="1:6" ht="12.75">
      <c r="A42" s="1">
        <v>334</v>
      </c>
      <c r="B42" t="s">
        <v>333</v>
      </c>
      <c r="C42" s="140">
        <v>333</v>
      </c>
      <c r="D42" s="184">
        <v>0.05</v>
      </c>
      <c r="E42" s="140">
        <f>+C42*D42</f>
        <v>16.650000000000002</v>
      </c>
      <c r="F42" s="140">
        <f>+E42/2</f>
        <v>8.325000000000001</v>
      </c>
    </row>
    <row r="43" spans="1:6" ht="12.75">
      <c r="A43" s="1"/>
      <c r="B43" t="s">
        <v>253</v>
      </c>
      <c r="C43" s="142">
        <f>SUM(C38:C42)</f>
        <v>10395</v>
      </c>
      <c r="D43" s="137"/>
      <c r="E43" s="142">
        <f>SUM(E38:E42)</f>
        <v>459.1766666666666</v>
      </c>
      <c r="F43" s="142">
        <f>SUM(F38:F42)</f>
        <v>229.5883333333333</v>
      </c>
    </row>
    <row r="44" spans="1:6" ht="12.75">
      <c r="A44" s="1"/>
      <c r="C44" s="142"/>
      <c r="D44" s="137"/>
      <c r="E44" s="142"/>
      <c r="F44" s="143"/>
    </row>
    <row r="45" spans="1:6" ht="12.75">
      <c r="A45" s="133"/>
      <c r="B45" s="137" t="s">
        <v>334</v>
      </c>
      <c r="C45" s="133"/>
      <c r="D45" s="133"/>
      <c r="E45" s="133"/>
      <c r="F45" s="133"/>
    </row>
    <row r="46" spans="1:6" ht="12.75">
      <c r="A46" s="1">
        <v>304</v>
      </c>
      <c r="B46" t="s">
        <v>251</v>
      </c>
      <c r="C46" s="144">
        <v>50000</v>
      </c>
      <c r="D46" s="139">
        <v>0.025</v>
      </c>
      <c r="E46" s="144">
        <f>+C46*D46</f>
        <v>1250</v>
      </c>
      <c r="F46" s="144">
        <f>+E46/2</f>
        <v>625</v>
      </c>
    </row>
    <row r="47" spans="1:6" ht="12.75">
      <c r="A47" s="1">
        <v>331</v>
      </c>
      <c r="B47" t="s">
        <v>252</v>
      </c>
      <c r="C47" s="140">
        <v>40000</v>
      </c>
      <c r="D47" s="184">
        <v>0.04</v>
      </c>
      <c r="E47" s="140">
        <f>+C47*D47</f>
        <v>1600</v>
      </c>
      <c r="F47" s="140">
        <f>+E47/2</f>
        <v>800</v>
      </c>
    </row>
    <row r="48" spans="2:6" ht="12.75">
      <c r="B48" t="s">
        <v>253</v>
      </c>
      <c r="C48" s="142">
        <f>SUM(C46:C47)</f>
        <v>90000</v>
      </c>
      <c r="D48" s="137"/>
      <c r="E48" s="142">
        <f>SUM(E46:E47)</f>
        <v>2850</v>
      </c>
      <c r="F48" s="143">
        <f>SUM(F46:F47)</f>
        <v>1425</v>
      </c>
    </row>
    <row r="50" ht="12.75">
      <c r="B50" s="137" t="s">
        <v>335</v>
      </c>
    </row>
    <row r="51" spans="1:6" ht="12.75">
      <c r="A51" s="1">
        <v>341</v>
      </c>
      <c r="B51" t="s">
        <v>336</v>
      </c>
      <c r="C51" s="144">
        <v>57648</v>
      </c>
      <c r="D51" s="139">
        <v>0.2</v>
      </c>
      <c r="E51" s="144">
        <f>+C51*D51</f>
        <v>11529.6</v>
      </c>
      <c r="F51" s="144">
        <f>+E51/2</f>
        <v>5764.8</v>
      </c>
    </row>
    <row r="52" spans="1:6" ht="12.75">
      <c r="A52" s="1">
        <v>343</v>
      </c>
      <c r="B52" t="s">
        <v>337</v>
      </c>
      <c r="C52" s="185">
        <v>3100</v>
      </c>
      <c r="D52" s="184">
        <v>0.1</v>
      </c>
      <c r="E52" s="185">
        <f>+C52*D52</f>
        <v>310</v>
      </c>
      <c r="F52" s="185">
        <f>+E52/2</f>
        <v>155</v>
      </c>
    </row>
    <row r="53" spans="1:6" ht="12.75">
      <c r="A53" s="1">
        <v>347</v>
      </c>
      <c r="B53" t="s">
        <v>354</v>
      </c>
      <c r="C53" s="140">
        <v>13729</v>
      </c>
      <c r="D53" s="184">
        <v>0.1</v>
      </c>
      <c r="E53" s="140">
        <f>+C53*D53</f>
        <v>1372.9</v>
      </c>
      <c r="F53" s="140">
        <f>+E53/2</f>
        <v>686.45</v>
      </c>
    </row>
    <row r="54" spans="2:6" ht="12.75">
      <c r="B54" t="s">
        <v>253</v>
      </c>
      <c r="C54" s="142">
        <f>SUM(C51:C53)</f>
        <v>74477</v>
      </c>
      <c r="D54" s="137"/>
      <c r="E54" s="142">
        <f>SUM(E51:E53)</f>
        <v>13212.5</v>
      </c>
      <c r="F54" s="142">
        <f>SUM(F51:F53)</f>
        <v>6606.25</v>
      </c>
    </row>
    <row r="56" spans="2:6" ht="12.75">
      <c r="B56" t="s">
        <v>260</v>
      </c>
      <c r="C56" s="142">
        <f>+C17+C26+C35+C43+C48+C54</f>
        <v>1244430</v>
      </c>
      <c r="E56" s="142">
        <f>+E17+E26+E35+E43+E48+E54</f>
        <v>51718.051666666666</v>
      </c>
      <c r="F56" s="142">
        <f>+F17+F26+F35+F43+F48+F54</f>
        <v>25859.025833333333</v>
      </c>
    </row>
    <row r="58" ht="12.75">
      <c r="A58" t="s">
        <v>238</v>
      </c>
    </row>
    <row r="59" ht="12.75">
      <c r="A59" s="136">
        <f>+BSAssets!A62</f>
        <v>39582</v>
      </c>
    </row>
  </sheetData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workbookViewId="0" topLeftCell="A5">
      <selection activeCell="C21" sqref="C21"/>
    </sheetView>
  </sheetViews>
  <sheetFormatPr defaultColWidth="9.140625" defaultRowHeight="12.75"/>
  <cols>
    <col min="1" max="1" width="10.7109375" style="0" customWidth="1"/>
    <col min="2" max="2" width="36.7109375" style="0" customWidth="1"/>
    <col min="3" max="3" width="10.7109375" style="0" customWidth="1"/>
    <col min="5" max="6" width="10.7109375" style="0" customWidth="1"/>
  </cols>
  <sheetData>
    <row r="1" spans="1:6" ht="20.25">
      <c r="A1" s="183" t="s">
        <v>239</v>
      </c>
      <c r="B1" s="4"/>
      <c r="C1" s="4"/>
      <c r="D1" s="4"/>
      <c r="E1" s="4"/>
      <c r="F1" s="5" t="s">
        <v>327</v>
      </c>
    </row>
    <row r="3" ht="15.75">
      <c r="A3" s="131" t="s">
        <v>198</v>
      </c>
    </row>
    <row r="4" ht="15.75">
      <c r="A4" s="131"/>
    </row>
    <row r="5" ht="15.75">
      <c r="A5" s="131" t="s">
        <v>210</v>
      </c>
    </row>
    <row r="6" ht="15.75">
      <c r="A6" s="131"/>
    </row>
    <row r="7" ht="15.75">
      <c r="A7" s="131" t="s">
        <v>240</v>
      </c>
    </row>
    <row r="10" spans="1:6" ht="12.75">
      <c r="A10" s="1" t="s">
        <v>241</v>
      </c>
      <c r="C10" s="1"/>
      <c r="D10" s="1" t="s">
        <v>242</v>
      </c>
      <c r="E10" s="1" t="s">
        <v>243</v>
      </c>
      <c r="F10" s="1" t="s">
        <v>244</v>
      </c>
    </row>
    <row r="11" spans="1:6" ht="12.75">
      <c r="A11" s="133" t="s">
        <v>245</v>
      </c>
      <c r="B11" s="137" t="s">
        <v>246</v>
      </c>
      <c r="C11" s="133" t="s">
        <v>247</v>
      </c>
      <c r="D11" s="133" t="s">
        <v>248</v>
      </c>
      <c r="E11" s="133" t="s">
        <v>249</v>
      </c>
      <c r="F11" s="133" t="s">
        <v>242</v>
      </c>
    </row>
    <row r="12" spans="1:6" ht="12.75">
      <c r="A12" s="137"/>
      <c r="B12" s="137" t="s">
        <v>329</v>
      </c>
      <c r="C12" s="133"/>
      <c r="D12" s="133"/>
      <c r="E12" s="133"/>
      <c r="F12" s="133"/>
    </row>
    <row r="13" spans="1:6" ht="12.75">
      <c r="A13" s="1">
        <v>304</v>
      </c>
      <c r="B13" t="s">
        <v>250</v>
      </c>
      <c r="C13" s="138">
        <v>209445</v>
      </c>
      <c r="D13" s="139">
        <v>0.025</v>
      </c>
      <c r="E13" s="138">
        <f>+C13*D13</f>
        <v>5236.125</v>
      </c>
      <c r="F13" s="138">
        <f>+E13/2</f>
        <v>2618.0625</v>
      </c>
    </row>
    <row r="14" spans="1:6" ht="12.75">
      <c r="A14" s="1">
        <v>304</v>
      </c>
      <c r="B14" t="s">
        <v>349</v>
      </c>
      <c r="C14" s="185">
        <v>555</v>
      </c>
      <c r="D14" s="139">
        <v>0.04</v>
      </c>
      <c r="E14" s="185">
        <f>+C14*D14</f>
        <v>22.2</v>
      </c>
      <c r="F14" s="185">
        <f>+E14/2</f>
        <v>11.1</v>
      </c>
    </row>
    <row r="15" spans="1:6" ht="12.75">
      <c r="A15" s="1">
        <v>331</v>
      </c>
      <c r="B15" t="s">
        <v>252</v>
      </c>
      <c r="C15" s="140">
        <v>90000</v>
      </c>
      <c r="D15" s="139">
        <v>0.04</v>
      </c>
      <c r="E15" s="140">
        <f>+C15*D15</f>
        <v>3600</v>
      </c>
      <c r="F15" s="140">
        <f>+E15/2</f>
        <v>1800</v>
      </c>
    </row>
    <row r="16" spans="1:6" ht="12.75">
      <c r="A16" s="1"/>
      <c r="B16" t="s">
        <v>253</v>
      </c>
      <c r="C16" s="142">
        <f>SUM(C13:C15)</f>
        <v>300000</v>
      </c>
      <c r="D16" s="137"/>
      <c r="E16" s="142">
        <f>SUM(E13:E15)</f>
        <v>8858.325</v>
      </c>
      <c r="F16" s="142">
        <f>SUM(F13:F15)</f>
        <v>4429.1625</v>
      </c>
    </row>
    <row r="17" spans="1:6" ht="12.75">
      <c r="A17" s="1"/>
      <c r="C17" s="142"/>
      <c r="D17" s="137"/>
      <c r="E17" s="142"/>
      <c r="F17" s="142"/>
    </row>
    <row r="18" spans="1:6" ht="12.75">
      <c r="A18" s="1"/>
      <c r="C18" s="144"/>
      <c r="D18" s="139"/>
      <c r="E18" s="144"/>
      <c r="F18" s="144"/>
    </row>
    <row r="19" spans="1:6" ht="12.75">
      <c r="A19" s="1"/>
      <c r="C19" s="132"/>
      <c r="D19" s="139"/>
      <c r="E19" s="132"/>
      <c r="F19" s="132"/>
    </row>
    <row r="20" spans="1:6" ht="12.75">
      <c r="A20" t="s">
        <v>238</v>
      </c>
      <c r="C20" s="140"/>
      <c r="D20" s="141"/>
      <c r="E20" s="140"/>
      <c r="F20" s="140"/>
    </row>
    <row r="21" spans="1:6" ht="12.75">
      <c r="A21" s="136">
        <f>+BSAssets!A62</f>
        <v>39582</v>
      </c>
      <c r="C21" s="142"/>
      <c r="D21" s="137"/>
      <c r="E21" s="142"/>
      <c r="F21" s="143"/>
    </row>
    <row r="22" spans="1:4" ht="12.75">
      <c r="A22" s="1"/>
      <c r="C22" s="132"/>
      <c r="D22" s="139"/>
    </row>
    <row r="23" spans="1:6" ht="12.75">
      <c r="A23" s="133"/>
      <c r="B23" s="137"/>
      <c r="C23" s="133"/>
      <c r="D23" s="133"/>
      <c r="E23" s="133"/>
      <c r="F23" s="133"/>
    </row>
    <row r="24" spans="1:6" ht="12.75">
      <c r="A24" s="1"/>
      <c r="B24" s="145"/>
      <c r="C24" s="138"/>
      <c r="D24" s="139"/>
      <c r="E24" s="138"/>
      <c r="F24" s="138"/>
    </row>
    <row r="25" spans="1:6" ht="12.75">
      <c r="A25" s="1"/>
      <c r="C25" s="142"/>
      <c r="D25" s="137"/>
      <c r="E25" s="142"/>
      <c r="F25" s="143"/>
    </row>
    <row r="26" ht="12.75">
      <c r="A26" s="1"/>
    </row>
    <row r="27" spans="1:6" ht="12.75">
      <c r="A27" s="133"/>
      <c r="B27" s="137"/>
      <c r="C27" s="133"/>
      <c r="D27" s="133"/>
      <c r="E27" s="133"/>
      <c r="F27" s="133"/>
    </row>
    <row r="28" spans="1:6" ht="12.75">
      <c r="A28" s="1"/>
      <c r="B28" s="145"/>
      <c r="C28" s="138"/>
      <c r="D28" s="139"/>
      <c r="E28" s="138"/>
      <c r="F28" s="138"/>
    </row>
    <row r="29" spans="1:6" ht="12.75">
      <c r="A29" s="1"/>
      <c r="C29" s="140"/>
      <c r="D29" s="141"/>
      <c r="E29" s="140"/>
      <c r="F29" s="140"/>
    </row>
    <row r="30" spans="1:6" ht="12.75">
      <c r="A30" s="1"/>
      <c r="C30" s="142"/>
      <c r="D30" s="137"/>
      <c r="E30" s="142"/>
      <c r="F30" s="143"/>
    </row>
    <row r="31" spans="1:6" ht="12.75">
      <c r="A31" s="1"/>
      <c r="C31" s="142"/>
      <c r="D31" s="137"/>
      <c r="E31" s="142"/>
      <c r="F31" s="143"/>
    </row>
    <row r="32" spans="1:6" ht="12.75">
      <c r="A32" s="133"/>
      <c r="B32" s="137"/>
      <c r="C32" s="133"/>
      <c r="D32" s="133"/>
      <c r="E32" s="133"/>
      <c r="F32" s="133"/>
    </row>
    <row r="33" spans="1:6" ht="12.75">
      <c r="A33" s="1"/>
      <c r="D33" s="139"/>
      <c r="E33" s="138"/>
      <c r="F33" s="138"/>
    </row>
    <row r="34" spans="1:6" ht="12.75">
      <c r="A34" s="1"/>
      <c r="C34" s="132"/>
      <c r="D34" s="139"/>
      <c r="E34" s="140"/>
      <c r="F34" s="140"/>
    </row>
    <row r="35" spans="1:6" ht="12.75">
      <c r="A35" s="1"/>
      <c r="C35" s="132"/>
      <c r="D35" s="141"/>
      <c r="E35" s="140"/>
      <c r="F35" s="140"/>
    </row>
    <row r="36" spans="3:6" ht="12.75">
      <c r="C36" s="142"/>
      <c r="D36" s="137"/>
      <c r="E36" s="142"/>
      <c r="F36" s="143"/>
    </row>
  </sheetData>
  <printOptions/>
  <pageMargins left="0.75" right="0.75" top="1" bottom="1" header="0.5" footer="0.5"/>
  <pageSetup fitToHeight="1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workbookViewId="0" topLeftCell="A24">
      <selection activeCell="C9" sqref="C9"/>
    </sheetView>
  </sheetViews>
  <sheetFormatPr defaultColWidth="9.140625" defaultRowHeight="12.75"/>
  <cols>
    <col min="1" max="1" width="30.7109375" style="0" customWidth="1"/>
    <col min="8" max="8" width="10.7109375" style="0" customWidth="1"/>
  </cols>
  <sheetData>
    <row r="1" spans="1:8" ht="20.25" customHeight="1">
      <c r="A1" s="126" t="s">
        <v>197</v>
      </c>
      <c r="B1" s="195"/>
      <c r="C1" s="195"/>
      <c r="D1" s="195"/>
      <c r="E1" s="4"/>
      <c r="F1" s="4"/>
      <c r="G1" s="4"/>
      <c r="H1" s="196" t="s">
        <v>371</v>
      </c>
    </row>
    <row r="3" ht="15.75" customHeight="1">
      <c r="A3" s="131" t="s">
        <v>373</v>
      </c>
    </row>
    <row r="4" spans="1:7" ht="15.75" customHeight="1">
      <c r="A4" s="131"/>
      <c r="B4" s="1" t="s">
        <v>338</v>
      </c>
      <c r="C4" s="1" t="s">
        <v>264</v>
      </c>
      <c r="D4" s="1">
        <v>175</v>
      </c>
      <c r="E4" s="1" t="s">
        <v>265</v>
      </c>
      <c r="F4" s="1" t="s">
        <v>269</v>
      </c>
      <c r="G4" s="1" t="s">
        <v>343</v>
      </c>
    </row>
    <row r="5" spans="1:8" ht="15.75" customHeight="1">
      <c r="A5" s="131" t="s">
        <v>374</v>
      </c>
      <c r="B5" s="1" t="s">
        <v>339</v>
      </c>
      <c r="C5" s="1" t="s">
        <v>267</v>
      </c>
      <c r="D5" s="1" t="s">
        <v>266</v>
      </c>
      <c r="E5" s="1" t="s">
        <v>268</v>
      </c>
      <c r="F5" s="1" t="s">
        <v>342</v>
      </c>
      <c r="G5" s="1" t="s">
        <v>209</v>
      </c>
      <c r="H5" s="1" t="s">
        <v>270</v>
      </c>
    </row>
    <row r="6" spans="2:8" ht="12.75">
      <c r="B6" s="1" t="s">
        <v>271</v>
      </c>
      <c r="C6" s="1" t="s">
        <v>271</v>
      </c>
      <c r="D6" s="1" t="s">
        <v>271</v>
      </c>
      <c r="E6" s="1" t="s">
        <v>271</v>
      </c>
      <c r="F6" s="1" t="s">
        <v>271</v>
      </c>
      <c r="G6" s="1" t="s">
        <v>271</v>
      </c>
      <c r="H6" s="1" t="s">
        <v>271</v>
      </c>
    </row>
    <row r="7" spans="1:8" ht="15.75" customHeight="1">
      <c r="A7" s="137" t="s">
        <v>366</v>
      </c>
      <c r="B7" s="133" t="s">
        <v>272</v>
      </c>
      <c r="C7" s="133" t="s">
        <v>272</v>
      </c>
      <c r="D7" s="133" t="s">
        <v>272</v>
      </c>
      <c r="E7" s="133" t="s">
        <v>272</v>
      </c>
      <c r="F7" s="133" t="s">
        <v>272</v>
      </c>
      <c r="G7" s="133" t="s">
        <v>272</v>
      </c>
      <c r="H7" s="133" t="s">
        <v>272</v>
      </c>
    </row>
    <row r="9" spans="1:8" ht="12.75">
      <c r="A9" t="s">
        <v>375</v>
      </c>
      <c r="B9" s="146">
        <f>+RevReq!B24</f>
        <v>750000</v>
      </c>
      <c r="C9" s="146">
        <f>+RevReq!C24</f>
        <v>151964</v>
      </c>
      <c r="D9" s="146">
        <f>+RevReq!D24</f>
        <v>167594</v>
      </c>
      <c r="E9" s="146">
        <f>+RevReq!E24</f>
        <v>10395</v>
      </c>
      <c r="F9" s="146">
        <f>+RevReq!F24</f>
        <v>90000</v>
      </c>
      <c r="G9" s="146">
        <f>+RevReq!G24</f>
        <v>74477</v>
      </c>
      <c r="H9" s="146">
        <f>+RevReq!H24</f>
        <v>1244430</v>
      </c>
    </row>
    <row r="10" spans="1:8" ht="12.75">
      <c r="A10" t="s">
        <v>212</v>
      </c>
      <c r="B10" s="140">
        <f>+RevReq!B25</f>
        <v>10504.3525</v>
      </c>
      <c r="C10" s="140">
        <f>+RevReq!C25</f>
        <v>3271.195</v>
      </c>
      <c r="D10" s="140">
        <f>+RevReq!D25</f>
        <v>3822.6400000000003</v>
      </c>
      <c r="E10" s="140">
        <f>+RevReq!E25</f>
        <v>229.5883333333333</v>
      </c>
      <c r="F10" s="140">
        <f>+RevReq!F25</f>
        <v>1425</v>
      </c>
      <c r="G10" s="140">
        <f>+RevReq!G25</f>
        <v>6606.25</v>
      </c>
      <c r="H10" s="140">
        <f>+RevReq!H25</f>
        <v>25859.025833333333</v>
      </c>
    </row>
    <row r="11" spans="1:8" ht="12.75">
      <c r="A11" t="s">
        <v>12</v>
      </c>
      <c r="B11" s="142">
        <f>+RevReq!B26:H26</f>
        <v>739495.6475</v>
      </c>
      <c r="C11" s="142">
        <f>+RevReq!C26:I26</f>
        <v>148692.805</v>
      </c>
      <c r="D11" s="142">
        <f>+RevReq!D26:J26</f>
        <v>163771.36</v>
      </c>
      <c r="E11" s="142">
        <f>+RevReq!E26:K26</f>
        <v>10165.411666666667</v>
      </c>
      <c r="F11" s="142">
        <f>+RevReq!F26:L26</f>
        <v>88575</v>
      </c>
      <c r="G11" s="142">
        <f>+RevReq!G26:M26</f>
        <v>67870.75</v>
      </c>
      <c r="H11" s="142">
        <f>+RevReq!H26:N26</f>
        <v>1218570.9741666666</v>
      </c>
    </row>
    <row r="12" spans="1:8" ht="12.75">
      <c r="A12" t="s">
        <v>367</v>
      </c>
      <c r="B12" s="143">
        <f>+B11/1000</f>
        <v>739.4956475</v>
      </c>
      <c r="C12" s="143">
        <f aca="true" t="shared" si="0" ref="C12:H12">+C11/1000</f>
        <v>148.692805</v>
      </c>
      <c r="D12" s="143">
        <f t="shared" si="0"/>
        <v>163.77136</v>
      </c>
      <c r="E12" s="143">
        <f t="shared" si="0"/>
        <v>10.165411666666667</v>
      </c>
      <c r="F12" s="143">
        <f t="shared" si="0"/>
        <v>88.575</v>
      </c>
      <c r="G12" s="143">
        <f t="shared" si="0"/>
        <v>67.87075</v>
      </c>
      <c r="H12" s="143">
        <f t="shared" si="0"/>
        <v>1218.5709741666667</v>
      </c>
    </row>
    <row r="13" spans="1:8" ht="12.75">
      <c r="A13" t="s">
        <v>376</v>
      </c>
      <c r="B13" s="144">
        <f>+B12*0.65</f>
        <v>480.672170875</v>
      </c>
      <c r="C13" s="144">
        <f aca="true" t="shared" si="1" ref="C13:H13">+C12*0.65</f>
        <v>96.65032325</v>
      </c>
      <c r="D13" s="144">
        <f t="shared" si="1"/>
        <v>106.45138399999999</v>
      </c>
      <c r="E13" s="144">
        <f t="shared" si="1"/>
        <v>6.607517583333334</v>
      </c>
      <c r="F13" s="144">
        <f t="shared" si="1"/>
        <v>57.573750000000004</v>
      </c>
      <c r="G13" s="144">
        <f t="shared" si="1"/>
        <v>44.1159875</v>
      </c>
      <c r="H13" s="144">
        <f t="shared" si="1"/>
        <v>792.0711332083334</v>
      </c>
    </row>
    <row r="14" spans="1:8" ht="12.75">
      <c r="A14" t="s">
        <v>368</v>
      </c>
      <c r="B14" s="193">
        <v>6.6</v>
      </c>
      <c r="C14" s="193">
        <v>6.6</v>
      </c>
      <c r="D14" s="193">
        <v>6.6</v>
      </c>
      <c r="E14" s="193">
        <v>6.6</v>
      </c>
      <c r="F14" s="193">
        <v>6.6</v>
      </c>
      <c r="G14" s="193">
        <v>6.6</v>
      </c>
      <c r="H14" s="193">
        <v>6.6</v>
      </c>
    </row>
    <row r="15" spans="1:8" ht="12.75">
      <c r="A15" t="s">
        <v>369</v>
      </c>
      <c r="B15" s="143">
        <f>+B13*B14</f>
        <v>3172.436327775</v>
      </c>
      <c r="C15" s="143">
        <f aca="true" t="shared" si="2" ref="C15:H15">+C13*C14</f>
        <v>637.89213345</v>
      </c>
      <c r="D15" s="143">
        <f t="shared" si="2"/>
        <v>702.5791343999999</v>
      </c>
      <c r="E15" s="143">
        <f t="shared" si="2"/>
        <v>43.60961605</v>
      </c>
      <c r="F15" s="143">
        <f t="shared" si="2"/>
        <v>379.98675000000003</v>
      </c>
      <c r="G15" s="143">
        <f t="shared" si="2"/>
        <v>291.1655175</v>
      </c>
      <c r="H15" s="143">
        <f t="shared" si="2"/>
        <v>5227.669479175001</v>
      </c>
    </row>
    <row r="17" ht="12.75">
      <c r="A17" s="137" t="s">
        <v>370</v>
      </c>
    </row>
    <row r="19" spans="1:8" ht="12.75">
      <c r="A19" t="s">
        <v>375</v>
      </c>
      <c r="B19" s="146">
        <f>+RevReq!B24</f>
        <v>750000</v>
      </c>
      <c r="C19" s="146">
        <f>+RevReq!C24</f>
        <v>151964</v>
      </c>
      <c r="D19" s="146">
        <f>+RevReq!D24</f>
        <v>167594</v>
      </c>
      <c r="E19" s="146">
        <f>+RevReq!E24</f>
        <v>10395</v>
      </c>
      <c r="F19" s="146">
        <f>+RevReq!F24</f>
        <v>90000</v>
      </c>
      <c r="G19" s="146">
        <f>+RevReq!G24</f>
        <v>74477</v>
      </c>
      <c r="H19" s="146">
        <f>+RevReq!H24</f>
        <v>1244430</v>
      </c>
    </row>
    <row r="20" spans="1:8" ht="12.75">
      <c r="A20" t="s">
        <v>212</v>
      </c>
      <c r="B20" s="140">
        <f>+RevReq!B25</f>
        <v>10504.3525</v>
      </c>
      <c r="C20" s="140">
        <f>+RevReq!C25</f>
        <v>3271.195</v>
      </c>
      <c r="D20" s="140">
        <f>+RevReq!D25</f>
        <v>3822.6400000000003</v>
      </c>
      <c r="E20" s="140">
        <f>+RevReq!E25</f>
        <v>229.5883333333333</v>
      </c>
      <c r="F20" s="140">
        <f>+RevReq!F25</f>
        <v>1425</v>
      </c>
      <c r="G20" s="140">
        <f>+RevReq!G25</f>
        <v>6606.25</v>
      </c>
      <c r="H20" s="140">
        <f>+RevReq!H25</f>
        <v>25859.025833333333</v>
      </c>
    </row>
    <row r="21" spans="1:8" ht="12.75">
      <c r="A21" t="s">
        <v>12</v>
      </c>
      <c r="B21" s="142">
        <f>+RevReq!B26</f>
        <v>739495.6475</v>
      </c>
      <c r="C21" s="142">
        <f>+RevReq!C26</f>
        <v>148692.805</v>
      </c>
      <c r="D21" s="142">
        <f>+RevReq!D26</f>
        <v>163771.36</v>
      </c>
      <c r="E21" s="142">
        <f>+RevReq!E26</f>
        <v>10165.411666666667</v>
      </c>
      <c r="F21" s="142">
        <f>+RevReq!F26</f>
        <v>88575</v>
      </c>
      <c r="G21" s="142">
        <f>+RevReq!G26</f>
        <v>67870.75</v>
      </c>
      <c r="H21" s="142">
        <f>+RevReq!H26</f>
        <v>1218570.9741666666</v>
      </c>
    </row>
    <row r="22" spans="1:8" ht="12.75">
      <c r="A22" t="s">
        <v>367</v>
      </c>
      <c r="B22" s="143">
        <f>+B21/1000</f>
        <v>739.4956475</v>
      </c>
      <c r="C22" s="143">
        <f aca="true" t="shared" si="3" ref="C22:H22">+C21/1000</f>
        <v>148.692805</v>
      </c>
      <c r="D22" s="143">
        <f t="shared" si="3"/>
        <v>163.77136</v>
      </c>
      <c r="E22" s="143">
        <f t="shared" si="3"/>
        <v>10.165411666666667</v>
      </c>
      <c r="F22" s="143">
        <f t="shared" si="3"/>
        <v>88.575</v>
      </c>
      <c r="G22" s="143">
        <f t="shared" si="3"/>
        <v>67.87075</v>
      </c>
      <c r="H22" s="143">
        <f t="shared" si="3"/>
        <v>1218.5709741666667</v>
      </c>
    </row>
    <row r="23" spans="1:8" ht="12.75">
      <c r="A23" t="s">
        <v>376</v>
      </c>
      <c r="B23" s="144">
        <f>+B22*0.65</f>
        <v>480.672170875</v>
      </c>
      <c r="C23" s="144">
        <f aca="true" t="shared" si="4" ref="C23:H23">+C22*0.65</f>
        <v>96.65032325</v>
      </c>
      <c r="D23" s="144">
        <f t="shared" si="4"/>
        <v>106.45138399999999</v>
      </c>
      <c r="E23" s="144">
        <f t="shared" si="4"/>
        <v>6.607517583333334</v>
      </c>
      <c r="F23" s="144">
        <f t="shared" si="4"/>
        <v>57.573750000000004</v>
      </c>
      <c r="G23" s="144">
        <f t="shared" si="4"/>
        <v>44.1159875</v>
      </c>
      <c r="H23" s="144">
        <f t="shared" si="4"/>
        <v>792.0711332083334</v>
      </c>
    </row>
    <row r="24" spans="1:8" ht="12.75">
      <c r="A24" t="s">
        <v>368</v>
      </c>
      <c r="B24" s="193">
        <v>15</v>
      </c>
      <c r="C24" s="193">
        <v>15</v>
      </c>
      <c r="D24" s="193">
        <v>15</v>
      </c>
      <c r="E24" s="193">
        <v>15</v>
      </c>
      <c r="F24" s="193">
        <v>15</v>
      </c>
      <c r="G24" s="193">
        <v>15</v>
      </c>
      <c r="H24" s="193">
        <v>15</v>
      </c>
    </row>
    <row r="25" spans="1:8" ht="12.75">
      <c r="A25" t="s">
        <v>370</v>
      </c>
      <c r="B25" s="143">
        <f>+B23*B24</f>
        <v>7210.082563125</v>
      </c>
      <c r="C25" s="143">
        <f aca="true" t="shared" si="5" ref="C25:H25">+C23*C24</f>
        <v>1449.75484875</v>
      </c>
      <c r="D25" s="143">
        <f t="shared" si="5"/>
        <v>1596.7707599999999</v>
      </c>
      <c r="E25" s="143">
        <f t="shared" si="5"/>
        <v>99.11276375000001</v>
      </c>
      <c r="F25" s="143">
        <f t="shared" si="5"/>
        <v>863.60625</v>
      </c>
      <c r="G25" s="143">
        <f t="shared" si="5"/>
        <v>661.7398125000001</v>
      </c>
      <c r="H25" s="143">
        <f t="shared" si="5"/>
        <v>11881.066998125001</v>
      </c>
    </row>
    <row r="27" spans="1:5" ht="12.75">
      <c r="A27" s="137" t="s">
        <v>378</v>
      </c>
      <c r="E27" s="146"/>
    </row>
    <row r="28" ht="12.75">
      <c r="E28" s="132"/>
    </row>
    <row r="29" spans="1:8" ht="12.75">
      <c r="A29" t="s">
        <v>379</v>
      </c>
      <c r="B29" s="146"/>
      <c r="C29" s="146"/>
      <c r="D29" s="146"/>
      <c r="E29" s="146"/>
      <c r="F29" s="146"/>
      <c r="G29" s="146"/>
      <c r="H29" s="197">
        <v>121988</v>
      </c>
    </row>
    <row r="30" spans="1:8" ht="12.75">
      <c r="A30" t="s">
        <v>380</v>
      </c>
      <c r="B30" s="141"/>
      <c r="C30" s="141"/>
      <c r="D30" s="141"/>
      <c r="E30" s="141"/>
      <c r="F30" s="141"/>
      <c r="G30" s="141"/>
      <c r="H30" s="141">
        <v>0.085</v>
      </c>
    </row>
    <row r="31" spans="1:8" ht="12.75">
      <c r="A31" t="s">
        <v>381</v>
      </c>
      <c r="B31" s="143"/>
      <c r="C31" s="143"/>
      <c r="D31" s="143"/>
      <c r="E31" s="143"/>
      <c r="F31" s="143"/>
      <c r="G31" s="143"/>
      <c r="H31" s="143">
        <f>+H29*H30</f>
        <v>10368.980000000001</v>
      </c>
    </row>
    <row r="33" ht="12.75">
      <c r="A33" s="137" t="s">
        <v>377</v>
      </c>
    </row>
    <row r="35" spans="1:8" ht="12.75">
      <c r="A35" t="s">
        <v>379</v>
      </c>
      <c r="B35" s="146"/>
      <c r="C35" s="146"/>
      <c r="D35" s="146"/>
      <c r="E35" s="146"/>
      <c r="F35" s="146"/>
      <c r="G35" s="146"/>
      <c r="H35" s="146">
        <f>+H29</f>
        <v>121988</v>
      </c>
    </row>
    <row r="36" spans="1:8" ht="12.75">
      <c r="A36" t="str">
        <f>+A31</f>
        <v>State Business Taxes </v>
      </c>
      <c r="B36" s="194"/>
      <c r="C36" s="194"/>
      <c r="D36" s="194"/>
      <c r="E36" s="194"/>
      <c r="F36" s="194"/>
      <c r="G36" s="194"/>
      <c r="H36" s="194">
        <f>-H31</f>
        <v>-10368.980000000001</v>
      </c>
    </row>
    <row r="37" spans="1:8" ht="12.75">
      <c r="A37" t="s">
        <v>382</v>
      </c>
      <c r="B37" s="146"/>
      <c r="C37" s="146"/>
      <c r="D37" s="146"/>
      <c r="E37" s="146"/>
      <c r="F37" s="146"/>
      <c r="G37" s="146"/>
      <c r="H37" s="146">
        <f>+H35+H36</f>
        <v>111619.02</v>
      </c>
    </row>
    <row r="38" spans="1:8" ht="12.75">
      <c r="A38" t="s">
        <v>383</v>
      </c>
      <c r="B38" s="141"/>
      <c r="C38" s="141"/>
      <c r="D38" s="141"/>
      <c r="E38" s="141"/>
      <c r="F38" s="141"/>
      <c r="G38" s="141"/>
      <c r="H38" s="141">
        <v>0.15</v>
      </c>
    </row>
    <row r="39" spans="1:8" ht="12.75">
      <c r="A39" t="s">
        <v>377</v>
      </c>
      <c r="B39" s="143"/>
      <c r="C39" s="143"/>
      <c r="D39" s="143"/>
      <c r="E39" s="143"/>
      <c r="F39" s="143"/>
      <c r="G39" s="143"/>
      <c r="H39" s="143">
        <f>+H37*H38</f>
        <v>16742.853</v>
      </c>
    </row>
    <row r="41" ht="12.75">
      <c r="E41" s="146"/>
    </row>
    <row r="42" ht="12.75">
      <c r="E42" s="146"/>
    </row>
    <row r="43" ht="12.75">
      <c r="A43" t="s">
        <v>238</v>
      </c>
    </row>
    <row r="44" ht="12.75">
      <c r="A44" s="136">
        <f>+BSAssets!A62</f>
        <v>39582</v>
      </c>
    </row>
    <row r="46" ht="12.75">
      <c r="E46" s="146"/>
    </row>
    <row r="47" ht="12.75">
      <c r="E47" s="139"/>
    </row>
    <row r="48" ht="12.75">
      <c r="E48" s="146"/>
    </row>
    <row r="50" ht="12.75">
      <c r="E50" s="146"/>
    </row>
  </sheetData>
  <printOptions/>
  <pageMargins left="0.75" right="0.75" top="1" bottom="1" header="0.5" footer="0.5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Stephen P. St. Cyr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P. St. Cyr</dc:creator>
  <cp:keywords/>
  <dc:description/>
  <cp:lastModifiedBy>SDeno</cp:lastModifiedBy>
  <cp:lastPrinted>2008-05-13T21:35:10Z</cp:lastPrinted>
  <dcterms:created xsi:type="dcterms:W3CDTF">2007-11-29T14:17:51Z</dcterms:created>
  <dcterms:modified xsi:type="dcterms:W3CDTF">2008-05-15T17:51:30Z</dcterms:modified>
  <cp:category/>
  <cp:version/>
  <cp:contentType/>
  <cp:contentStatus/>
</cp:coreProperties>
</file>